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takornet/Desktop/M+G/Mercor/wyniki 1H 22:23/"/>
    </mc:Choice>
  </mc:AlternateContent>
  <xr:revisionPtr revIDLastSave="0" documentId="13_ncr:1_{5B910CA5-17AC-2344-BB17-975B72485113}" xr6:coauthVersionLast="47" xr6:coauthVersionMax="47" xr10:uidLastSave="{00000000-0000-0000-0000-000000000000}"/>
  <bookViews>
    <workbookView xWindow="0" yWindow="500" windowWidth="28800" windowHeight="16720" activeTab="4" xr2:uid="{00000000-000D-0000-FFFF-FFFF00000000}"/>
  </bookViews>
  <sheets>
    <sheet name="Grupa Mercor" sheetId="5" r:id="rId1"/>
    <sheet name="Bilans Grupa Mercor" sheetId="2" r:id="rId2"/>
    <sheet name="RZiS Grupa Mercor" sheetId="3" r:id="rId3"/>
    <sheet name="Cash flow Grupa Mercor" sheetId="4" r:id="rId4"/>
    <sheet name="zamówienia" sheetId="6" r:id="rId5"/>
  </sheets>
  <definedNames>
    <definedName name="_xlnm.Print_Area" localSheetId="0">'Grupa Mercor'!$A$1:$A$12</definedName>
    <definedName name="_xlnm.Print_Area" localSheetId="2">'RZiS Grupa Mercor'!$A$1:$O$34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4" l="1"/>
  <c r="W28" i="4" s="1"/>
  <c r="W18" i="4"/>
  <c r="W20" i="4" s="1"/>
  <c r="W37" i="4"/>
  <c r="X24" i="3"/>
  <c r="X9" i="3"/>
  <c r="X16" i="3" s="1"/>
  <c r="X21" i="3" s="1"/>
  <c r="X28" i="3" s="1"/>
  <c r="X37" i="3" s="1"/>
  <c r="X71" i="2"/>
  <c r="X58" i="2"/>
  <c r="X44" i="2"/>
  <c r="X47" i="2" s="1"/>
  <c r="X30" i="2"/>
  <c r="X18" i="2"/>
  <c r="V39" i="4"/>
  <c r="V24" i="4"/>
  <c r="V20" i="4"/>
  <c r="U18" i="4"/>
  <c r="U20" i="4" s="1"/>
  <c r="V18" i="4"/>
  <c r="V37" i="4"/>
  <c r="V28" i="4"/>
  <c r="W71" i="2"/>
  <c r="W58" i="2"/>
  <c r="W44" i="2"/>
  <c r="W47" i="2" s="1"/>
  <c r="W30" i="2"/>
  <c r="W18" i="2"/>
  <c r="W9" i="3"/>
  <c r="W16" i="3" s="1"/>
  <c r="W21" i="3" s="1"/>
  <c r="W24" i="3" s="1"/>
  <c r="W28" i="3" s="1"/>
  <c r="W37" i="3" s="1"/>
  <c r="U37" i="4"/>
  <c r="T37" i="4"/>
  <c r="S37" i="4"/>
  <c r="R37" i="4"/>
  <c r="R20" i="4"/>
  <c r="T18" i="4"/>
  <c r="T20" i="4" s="1"/>
  <c r="T24" i="4"/>
  <c r="T28" i="4" s="1"/>
  <c r="H37" i="4"/>
  <c r="H28" i="4"/>
  <c r="H18" i="4"/>
  <c r="H20" i="4" s="1"/>
  <c r="S9" i="3"/>
  <c r="S16" i="3" s="1"/>
  <c r="S21" i="3" s="1"/>
  <c r="S24" i="3" s="1"/>
  <c r="S28" i="3" s="1"/>
  <c r="T9" i="3"/>
  <c r="T16" i="3" s="1"/>
  <c r="T21" i="3" s="1"/>
  <c r="T24" i="3" s="1"/>
  <c r="T28" i="3" s="1"/>
  <c r="T37" i="3" s="1"/>
  <c r="U9" i="3"/>
  <c r="U16" i="3" s="1"/>
  <c r="U21" i="3" s="1"/>
  <c r="U24" i="3" s="1"/>
  <c r="U28" i="3" s="1"/>
  <c r="V9" i="3"/>
  <c r="V16" i="3" s="1"/>
  <c r="V21" i="3" s="1"/>
  <c r="V24" i="3" s="1"/>
  <c r="V28" i="3" s="1"/>
  <c r="V37" i="3" s="1"/>
  <c r="W39" i="4" l="1"/>
  <c r="X73" i="2"/>
  <c r="X31" i="2"/>
  <c r="W73" i="2"/>
  <c r="W31" i="2"/>
  <c r="T39" i="4"/>
  <c r="H39" i="4"/>
  <c r="H41" i="4" s="1"/>
  <c r="U35" i="3"/>
  <c r="U37" i="3" s="1"/>
  <c r="H9" i="3" l="1"/>
  <c r="H16" i="3" s="1"/>
  <c r="H21" i="3" s="1"/>
  <c r="H24" i="3" s="1"/>
  <c r="H28" i="3" s="1"/>
  <c r="H37" i="3" s="1"/>
  <c r="V44" i="2"/>
  <c r="V47" i="2" s="1"/>
  <c r="S44" i="2"/>
  <c r="S47" i="2" s="1"/>
  <c r="T44" i="2"/>
  <c r="T47" i="2" s="1"/>
  <c r="U44" i="2"/>
  <c r="U47" i="2" s="1"/>
  <c r="V71" i="2"/>
  <c r="R71" i="2"/>
  <c r="S71" i="2"/>
  <c r="T71" i="2"/>
  <c r="U71" i="2"/>
  <c r="V58" i="2"/>
  <c r="R58" i="2"/>
  <c r="S58" i="2"/>
  <c r="T58" i="2"/>
  <c r="U58" i="2"/>
  <c r="S18" i="2"/>
  <c r="S31" i="2" s="1"/>
  <c r="T18" i="2"/>
  <c r="U18" i="2"/>
  <c r="S30" i="2"/>
  <c r="T30" i="2"/>
  <c r="U30" i="2"/>
  <c r="V30" i="2"/>
  <c r="V31" i="2" s="1"/>
  <c r="V18" i="2"/>
  <c r="U31" i="2" l="1"/>
  <c r="U73" i="2"/>
  <c r="S73" i="2"/>
  <c r="T73" i="2"/>
  <c r="T31" i="2"/>
  <c r="V73" i="2"/>
  <c r="H71" i="2"/>
  <c r="H57" i="2"/>
  <c r="H55" i="2"/>
  <c r="H44" i="2"/>
  <c r="H47" i="2" s="1"/>
  <c r="H30" i="2"/>
  <c r="H18" i="2"/>
  <c r="H58" i="2" l="1"/>
  <c r="H31" i="2"/>
  <c r="H73" i="2"/>
  <c r="N15" i="4"/>
  <c r="N14" i="4"/>
  <c r="R15" i="4"/>
  <c r="R14" i="4"/>
  <c r="U24" i="4"/>
  <c r="U28" i="4" s="1"/>
  <c r="U39" i="4" s="1"/>
  <c r="O45" i="3"/>
  <c r="O44" i="3"/>
  <c r="S18" i="4" l="1"/>
  <c r="S20" i="4" s="1"/>
  <c r="S39" i="4" s="1"/>
  <c r="O37" i="4"/>
  <c r="S28" i="4"/>
  <c r="O18" i="4"/>
  <c r="R28" i="4" l="1"/>
  <c r="R39" i="4" s="1"/>
  <c r="S35" i="3"/>
  <c r="S37" i="3" s="1"/>
  <c r="O35" i="3"/>
  <c r="L17" i="4" l="1"/>
  <c r="L15" i="4"/>
  <c r="L14" i="4"/>
  <c r="K17" i="4"/>
  <c r="K14" i="4"/>
  <c r="J17" i="4"/>
  <c r="J12" i="4"/>
  <c r="J16" i="4"/>
  <c r="J14" i="4"/>
  <c r="J13" i="4"/>
  <c r="J7" i="4"/>
  <c r="I57" i="2"/>
  <c r="G57" i="2"/>
  <c r="F57" i="2"/>
  <c r="G55" i="2"/>
  <c r="F55" i="2"/>
  <c r="N57" i="2"/>
  <c r="N55" i="2"/>
  <c r="N70" i="2"/>
  <c r="N68" i="2"/>
  <c r="P70" i="2"/>
  <c r="P68" i="2"/>
  <c r="O70" i="2"/>
  <c r="O68" i="2"/>
  <c r="O66" i="2"/>
  <c r="O63" i="2"/>
  <c r="O62" i="2"/>
  <c r="O57" i="2"/>
  <c r="O55" i="2"/>
  <c r="O43" i="2"/>
  <c r="O25" i="2"/>
  <c r="O24" i="2"/>
  <c r="O23" i="2"/>
  <c r="O17" i="2"/>
  <c r="O16" i="2"/>
  <c r="O13" i="2"/>
  <c r="P66" i="2" l="1"/>
  <c r="P62" i="2"/>
  <c r="P63" i="2"/>
  <c r="P57" i="2"/>
  <c r="P55" i="2"/>
  <c r="P43" i="2"/>
  <c r="P23" i="2"/>
  <c r="P25" i="2"/>
  <c r="P24" i="2"/>
  <c r="P17" i="2"/>
  <c r="P16" i="2"/>
  <c r="P13" i="2"/>
  <c r="Q62" i="2"/>
  <c r="Q63" i="2"/>
  <c r="Q70" i="2"/>
  <c r="Q68" i="2"/>
  <c r="Q66" i="2"/>
  <c r="Q57" i="2"/>
  <c r="Q55" i="2"/>
  <c r="Q43" i="2"/>
  <c r="Q25" i="2"/>
  <c r="Q24" i="2"/>
  <c r="Q23" i="2"/>
  <c r="Q13" i="2"/>
  <c r="Q17" i="2"/>
  <c r="Q16" i="2"/>
  <c r="M62" i="2"/>
  <c r="M63" i="2"/>
  <c r="M70" i="2"/>
  <c r="M68" i="2"/>
  <c r="M57" i="2"/>
  <c r="M55" i="2"/>
  <c r="M23" i="2"/>
  <c r="M25" i="2"/>
  <c r="M24" i="2"/>
  <c r="M17" i="2"/>
  <c r="M16" i="2"/>
  <c r="L25" i="2"/>
  <c r="L23" i="2"/>
  <c r="K23" i="2"/>
  <c r="K25" i="2"/>
  <c r="L62" i="2" l="1"/>
  <c r="L63" i="2"/>
  <c r="L24" i="2"/>
  <c r="L17" i="2"/>
  <c r="L16" i="2"/>
  <c r="K62" i="2" l="1"/>
  <c r="K63" i="2"/>
  <c r="K24" i="2"/>
  <c r="K16" i="2"/>
  <c r="K17" i="2"/>
  <c r="M66" i="2" l="1"/>
  <c r="M43" i="2"/>
  <c r="M13" i="2"/>
  <c r="L57" i="2"/>
  <c r="L55" i="2"/>
  <c r="L70" i="2"/>
  <c r="L68" i="2"/>
  <c r="L66" i="2"/>
  <c r="L43" i="2"/>
  <c r="L13" i="2"/>
  <c r="K13" i="2"/>
  <c r="K43" i="2"/>
  <c r="J57" i="2"/>
  <c r="J55" i="2"/>
  <c r="J70" i="2"/>
  <c r="J68" i="2"/>
  <c r="K70" i="2"/>
  <c r="K68" i="2"/>
  <c r="K66" i="2"/>
  <c r="K57" i="2"/>
  <c r="K55" i="2"/>
  <c r="M8" i="3"/>
  <c r="M15" i="3"/>
  <c r="M14" i="3"/>
  <c r="M11" i="3"/>
  <c r="M12" i="3"/>
  <c r="M19" i="3"/>
  <c r="M18" i="3"/>
  <c r="L19" i="3"/>
  <c r="K19" i="3" s="1"/>
  <c r="L18" i="3"/>
  <c r="K18" i="3" s="1"/>
  <c r="L8" i="3" l="1"/>
  <c r="K8" i="3" s="1"/>
  <c r="L15" i="3"/>
  <c r="L14" i="3"/>
  <c r="K14" i="3" s="1"/>
  <c r="L11" i="3"/>
  <c r="L12" i="3"/>
  <c r="K12" i="3" l="1"/>
  <c r="K15" i="3"/>
  <c r="K11" i="3"/>
  <c r="N19" i="3" l="1"/>
  <c r="N18" i="3"/>
  <c r="P8" i="3"/>
  <c r="O8" i="3"/>
  <c r="P12" i="3"/>
  <c r="O12" i="3"/>
  <c r="Q15" i="3"/>
  <c r="Q14" i="3"/>
  <c r="Q11" i="3"/>
  <c r="P19" i="3"/>
  <c r="P18" i="3"/>
  <c r="O19" i="3"/>
  <c r="O18" i="3"/>
  <c r="P15" i="3"/>
  <c r="P14" i="3"/>
  <c r="P11" i="3" l="1"/>
  <c r="O14" i="3"/>
  <c r="O11" i="3"/>
  <c r="O15" i="3"/>
  <c r="Q13" i="3" l="1"/>
  <c r="R26" i="3" l="1"/>
  <c r="N26" i="3"/>
  <c r="N15" i="3"/>
  <c r="N14" i="3"/>
  <c r="N12" i="3"/>
  <c r="N11" i="3"/>
  <c r="N8" i="3"/>
  <c r="Q37" i="4"/>
  <c r="Q28" i="4"/>
  <c r="Q18" i="4"/>
  <c r="Q20" i="4" s="1"/>
  <c r="M37" i="4"/>
  <c r="M28" i="4"/>
  <c r="M10" i="4"/>
  <c r="M18" i="4" s="1"/>
  <c r="M20" i="4" s="1"/>
  <c r="P37" i="4"/>
  <c r="P28" i="4"/>
  <c r="P20" i="4"/>
  <c r="G37" i="4"/>
  <c r="G28" i="4"/>
  <c r="G10" i="4"/>
  <c r="G18" i="4" s="1"/>
  <c r="G20" i="4" s="1"/>
  <c r="Q9" i="3"/>
  <c r="Q16" i="3" s="1"/>
  <c r="G40" i="3"/>
  <c r="G7" i="3"/>
  <c r="G9" i="3" s="1"/>
  <c r="G16" i="3" s="1"/>
  <c r="R44" i="2"/>
  <c r="R47" i="2" s="1"/>
  <c r="R30" i="2"/>
  <c r="R18" i="2"/>
  <c r="N71" i="2"/>
  <c r="N58" i="2"/>
  <c r="N44" i="2"/>
  <c r="N47" i="2" s="1"/>
  <c r="N30" i="2"/>
  <c r="N18" i="2"/>
  <c r="J71" i="2"/>
  <c r="J58" i="2"/>
  <c r="J44" i="2"/>
  <c r="J47" i="2" s="1"/>
  <c r="J30" i="2"/>
  <c r="J18" i="2"/>
  <c r="Q71" i="2"/>
  <c r="Q58" i="2"/>
  <c r="Q44" i="2"/>
  <c r="Q47" i="2" s="1"/>
  <c r="Q30" i="2"/>
  <c r="Q18" i="2"/>
  <c r="G71" i="2"/>
  <c r="G58" i="2"/>
  <c r="G44" i="2"/>
  <c r="G47" i="2" s="1"/>
  <c r="G30" i="2"/>
  <c r="G18" i="2"/>
  <c r="Q21" i="3" l="1"/>
  <c r="Q24" i="3" s="1"/>
  <c r="Q28" i="3" s="1"/>
  <c r="Q39" i="4"/>
  <c r="Q41" i="4" s="1"/>
  <c r="N31" i="2"/>
  <c r="J31" i="2"/>
  <c r="R31" i="2"/>
  <c r="M39" i="4"/>
  <c r="M41" i="4" s="1"/>
  <c r="P39" i="4"/>
  <c r="P41" i="4" s="1"/>
  <c r="N73" i="2"/>
  <c r="Q31" i="2"/>
  <c r="J73" i="2"/>
  <c r="G39" i="4"/>
  <c r="G41" i="4" s="1"/>
  <c r="G21" i="3"/>
  <c r="G24" i="3" s="1"/>
  <c r="G28" i="3" s="1"/>
  <c r="G37" i="3" s="1"/>
  <c r="R73" i="2"/>
  <c r="G31" i="2"/>
  <c r="Q73" i="2"/>
  <c r="G73" i="2"/>
  <c r="Q37" i="3" l="1"/>
  <c r="J39" i="3"/>
  <c r="J35" i="3"/>
  <c r="J40" i="3"/>
  <c r="J32" i="3"/>
  <c r="J31" i="3"/>
  <c r="J26" i="3"/>
  <c r="J23" i="3"/>
  <c r="J19" i="3"/>
  <c r="J18" i="3"/>
  <c r="J14" i="3"/>
  <c r="J13" i="3"/>
  <c r="J12" i="3"/>
  <c r="J11" i="3"/>
  <c r="J8" i="3"/>
  <c r="J7" i="3"/>
  <c r="M12" i="2" l="1"/>
  <c r="M11" i="2"/>
  <c r="L12" i="2"/>
  <c r="L11" i="2"/>
  <c r="K11" i="2"/>
  <c r="K12" i="2"/>
  <c r="K9" i="2" l="1"/>
  <c r="K41" i="2"/>
  <c r="K54" i="2"/>
  <c r="K10" i="2"/>
  <c r="K52" i="2"/>
  <c r="K21" i="2"/>
  <c r="K46" i="2"/>
  <c r="K64" i="2"/>
  <c r="K61" i="2"/>
  <c r="K36" i="2"/>
  <c r="K35" i="2"/>
  <c r="K14" i="2"/>
  <c r="L9" i="2"/>
  <c r="M9" i="2"/>
  <c r="M54" i="2"/>
  <c r="L54" i="2"/>
  <c r="L41" i="2"/>
  <c r="L46" i="2"/>
  <c r="L10" i="2"/>
  <c r="L52" i="2"/>
  <c r="L21" i="2"/>
  <c r="L64" i="2" l="1"/>
  <c r="L61" i="2"/>
  <c r="L29" i="2"/>
  <c r="L28" i="2"/>
  <c r="L27" i="2"/>
  <c r="M46" i="2"/>
  <c r="M41" i="2"/>
  <c r="M10" i="2" l="1"/>
  <c r="M52" i="2"/>
  <c r="M21" i="2"/>
  <c r="M61" i="2"/>
  <c r="M29" i="2"/>
  <c r="M28" i="2"/>
  <c r="M27" i="2"/>
  <c r="M26" i="2"/>
  <c r="O46" i="2"/>
  <c r="O11" i="2"/>
  <c r="O12" i="2" l="1"/>
  <c r="O54" i="2"/>
  <c r="O10" i="2"/>
  <c r="O41" i="2"/>
  <c r="O9" i="2"/>
  <c r="O52" i="2"/>
  <c r="O21" i="2"/>
  <c r="J9" i="4"/>
  <c r="J18" i="4" s="1"/>
  <c r="N9" i="4"/>
  <c r="N18" i="4" s="1"/>
  <c r="N20" i="4" s="1"/>
  <c r="O64" i="2"/>
  <c r="O61" i="2"/>
  <c r="O50" i="2"/>
  <c r="O36" i="2"/>
  <c r="O35" i="2"/>
  <c r="O29" i="2"/>
  <c r="O28" i="2"/>
  <c r="O27" i="2"/>
  <c r="K45" i="3"/>
  <c r="K40" i="3"/>
  <c r="N40" i="3" s="1"/>
  <c r="K39" i="3"/>
  <c r="N39" i="3" s="1"/>
  <c r="K35" i="3"/>
  <c r="N35" i="3" s="1"/>
  <c r="K32" i="3"/>
  <c r="N32" i="3" s="1"/>
  <c r="K31" i="3"/>
  <c r="N31" i="3" s="1"/>
  <c r="K23" i="3"/>
  <c r="N23" i="3" s="1"/>
  <c r="K13" i="3"/>
  <c r="N13" i="3" s="1"/>
  <c r="K7" i="3"/>
  <c r="N7" i="3" s="1"/>
  <c r="O40" i="3"/>
  <c r="O39" i="3"/>
  <c r="O32" i="3"/>
  <c r="O31" i="3"/>
  <c r="I18" i="4"/>
  <c r="I20" i="4" s="1"/>
  <c r="F18" i="4"/>
  <c r="F20" i="4" s="1"/>
  <c r="E18" i="4"/>
  <c r="E20" i="4" s="1"/>
  <c r="D18" i="4"/>
  <c r="D20" i="4" s="1"/>
  <c r="C18" i="4"/>
  <c r="C20" i="4" s="1"/>
  <c r="L18" i="4"/>
  <c r="L20" i="4" s="1"/>
  <c r="K18" i="4"/>
  <c r="K20" i="4" s="1"/>
  <c r="I37" i="4"/>
  <c r="F37" i="4"/>
  <c r="E37" i="4"/>
  <c r="D37" i="4"/>
  <c r="C37" i="4"/>
  <c r="L37" i="4"/>
  <c r="K37" i="4"/>
  <c r="J37" i="4"/>
  <c r="N37" i="4"/>
  <c r="I28" i="4"/>
  <c r="F28" i="4"/>
  <c r="E28" i="4"/>
  <c r="D28" i="4"/>
  <c r="C28" i="4"/>
  <c r="L28" i="4"/>
  <c r="K28" i="4"/>
  <c r="J28" i="4"/>
  <c r="O28" i="4"/>
  <c r="N28" i="4"/>
  <c r="I9" i="3"/>
  <c r="F9" i="3"/>
  <c r="F16" i="3" s="1"/>
  <c r="F21" i="3" s="1"/>
  <c r="F24" i="3" s="1"/>
  <c r="F28" i="3" s="1"/>
  <c r="F37" i="3" s="1"/>
  <c r="E9" i="3"/>
  <c r="E16" i="3" s="1"/>
  <c r="E21" i="3" s="1"/>
  <c r="E24" i="3" s="1"/>
  <c r="E28" i="3" s="1"/>
  <c r="E37" i="3" s="1"/>
  <c r="D9" i="3"/>
  <c r="D16" i="3" s="1"/>
  <c r="D21" i="3" s="1"/>
  <c r="D24" i="3" s="1"/>
  <c r="D28" i="3" s="1"/>
  <c r="D37" i="3" s="1"/>
  <c r="C9" i="3"/>
  <c r="C16" i="3" s="1"/>
  <c r="C21" i="3" s="1"/>
  <c r="C24" i="3" s="1"/>
  <c r="C28" i="3" s="1"/>
  <c r="C37" i="3" s="1"/>
  <c r="L9" i="3"/>
  <c r="J9" i="3"/>
  <c r="J16" i="3" s="1"/>
  <c r="P9" i="3"/>
  <c r="R9" i="3"/>
  <c r="M9" i="3"/>
  <c r="P71" i="2"/>
  <c r="P58" i="2"/>
  <c r="P44" i="2"/>
  <c r="P47" i="2" s="1"/>
  <c r="P30" i="2"/>
  <c r="P18" i="2"/>
  <c r="J21" i="3" l="1"/>
  <c r="J24" i="3" s="1"/>
  <c r="J28" i="3" s="1"/>
  <c r="J37" i="3" s="1"/>
  <c r="M16" i="3"/>
  <c r="R16" i="3"/>
  <c r="R21" i="3" s="1"/>
  <c r="R24" i="3" s="1"/>
  <c r="R28" i="3" s="1"/>
  <c r="P16" i="3"/>
  <c r="L16" i="3"/>
  <c r="I16" i="3"/>
  <c r="K9" i="3"/>
  <c r="N9" i="3"/>
  <c r="I39" i="4"/>
  <c r="I41" i="4" s="1"/>
  <c r="C39" i="4"/>
  <c r="C41" i="4" s="1"/>
  <c r="D39" i="4"/>
  <c r="D41" i="4" s="1"/>
  <c r="E39" i="4"/>
  <c r="E41" i="4" s="1"/>
  <c r="F39" i="4"/>
  <c r="F41" i="4" s="1"/>
  <c r="J20" i="4"/>
  <c r="J39" i="4" s="1"/>
  <c r="J41" i="4" s="1"/>
  <c r="N39" i="4"/>
  <c r="N41" i="4" s="1"/>
  <c r="O9" i="3"/>
  <c r="K39" i="4"/>
  <c r="K41" i="4" s="1"/>
  <c r="O41" i="4"/>
  <c r="L39" i="4"/>
  <c r="L41" i="4" s="1"/>
  <c r="P73" i="2"/>
  <c r="P31" i="2"/>
  <c r="D71" i="2"/>
  <c r="E71" i="2"/>
  <c r="F71" i="2"/>
  <c r="I71" i="2"/>
  <c r="K71" i="2"/>
  <c r="L71" i="2"/>
  <c r="M71" i="2"/>
  <c r="O71" i="2"/>
  <c r="C71" i="2"/>
  <c r="D58" i="2"/>
  <c r="E58" i="2"/>
  <c r="F58" i="2"/>
  <c r="I58" i="2"/>
  <c r="K58" i="2"/>
  <c r="L58" i="2"/>
  <c r="M58" i="2"/>
  <c r="O58" i="2"/>
  <c r="C58" i="2"/>
  <c r="D44" i="2"/>
  <c r="D47" i="2" s="1"/>
  <c r="E44" i="2"/>
  <c r="E47" i="2" s="1"/>
  <c r="F44" i="2"/>
  <c r="F47" i="2" s="1"/>
  <c r="I44" i="2"/>
  <c r="I47" i="2" s="1"/>
  <c r="K44" i="2"/>
  <c r="K47" i="2" s="1"/>
  <c r="L44" i="2"/>
  <c r="L47" i="2" s="1"/>
  <c r="M44" i="2"/>
  <c r="M47" i="2" s="1"/>
  <c r="O44" i="2"/>
  <c r="O47" i="2" s="1"/>
  <c r="C44" i="2"/>
  <c r="C47" i="2" s="1"/>
  <c r="D30" i="2"/>
  <c r="E30" i="2"/>
  <c r="F30" i="2"/>
  <c r="I30" i="2"/>
  <c r="K30" i="2"/>
  <c r="L30" i="2"/>
  <c r="M30" i="2"/>
  <c r="O30" i="2"/>
  <c r="C30" i="2"/>
  <c r="D18" i="2"/>
  <c r="E18" i="2"/>
  <c r="F18" i="2"/>
  <c r="I18" i="2"/>
  <c r="K18" i="2"/>
  <c r="L18" i="2"/>
  <c r="M18" i="2"/>
  <c r="O18" i="2"/>
  <c r="C18" i="2"/>
  <c r="I21" i="3" l="1"/>
  <c r="I24" i="3" s="1"/>
  <c r="I28" i="3" s="1"/>
  <c r="I37" i="3" s="1"/>
  <c r="M21" i="3"/>
  <c r="M24" i="3" s="1"/>
  <c r="M28" i="3" s="1"/>
  <c r="M37" i="3" s="1"/>
  <c r="L21" i="3"/>
  <c r="L24" i="3" s="1"/>
  <c r="L28" i="3" s="1"/>
  <c r="L37" i="3" s="1"/>
  <c r="P21" i="3"/>
  <c r="P24" i="3" s="1"/>
  <c r="P28" i="3" s="1"/>
  <c r="P37" i="3" s="1"/>
  <c r="K16" i="3"/>
  <c r="O16" i="3"/>
  <c r="N16" i="3"/>
  <c r="N21" i="3" s="1"/>
  <c r="C73" i="2"/>
  <c r="D31" i="2"/>
  <c r="E31" i="2"/>
  <c r="M73" i="2"/>
  <c r="O31" i="2"/>
  <c r="F31" i="2"/>
  <c r="M31" i="2"/>
  <c r="F73" i="2"/>
  <c r="L31" i="2"/>
  <c r="K31" i="2"/>
  <c r="O73" i="2"/>
  <c r="E73" i="2"/>
  <c r="D73" i="2"/>
  <c r="L73" i="2"/>
  <c r="K73" i="2"/>
  <c r="I73" i="2"/>
  <c r="I31" i="2"/>
  <c r="C31" i="2"/>
  <c r="K21" i="3" l="1"/>
  <c r="K24" i="3" s="1"/>
  <c r="K28" i="3" s="1"/>
  <c r="K37" i="3" s="1"/>
  <c r="O21" i="3"/>
  <c r="O24" i="3" s="1"/>
  <c r="O28" i="3" s="1"/>
  <c r="O37" i="3" s="1"/>
  <c r="N24" i="3"/>
  <c r="N28" i="3" s="1"/>
  <c r="R37" i="3"/>
  <c r="N37" i="3" l="1"/>
</calcChain>
</file>

<file path=xl/sharedStrings.xml><?xml version="1.0" encoding="utf-8"?>
<sst xmlns="http://schemas.openxmlformats.org/spreadsheetml/2006/main" count="229" uniqueCount="198">
  <si>
    <t>SKONSOLIDOWANY RACHUNEK PRZEPŁYWÓW PIENIĘŻNYCH
dane w tys. zł, zgodne z MSSF</t>
  </si>
  <si>
    <t>SKONSOLIDOWANY BILANS</t>
  </si>
  <si>
    <t>SKONSOLIDOWANY RACHUNEK ZYSKÓW I STRAT</t>
  </si>
  <si>
    <t>SKONSOLIDOWANY RACHUNEK PRZEPŁYWÓW PIENIĘŻNYCH</t>
  </si>
  <si>
    <t>Dane kwartalne</t>
  </si>
  <si>
    <t>Dane roczne na dzień 31 marca</t>
  </si>
  <si>
    <t>SKONSOLIDOWANY BILANS
dane w tys. PLN, zgodne z MSSF</t>
  </si>
  <si>
    <t>2017/18</t>
  </si>
  <si>
    <t>2016/17</t>
  </si>
  <si>
    <t>2015/16</t>
  </si>
  <si>
    <t>Dane roczne (1.04-31.03)</t>
  </si>
  <si>
    <t xml:space="preserve">RACHUNEK ZYSKÓW I STRAT, dane w tys. PLN, zgodne z MSSF </t>
  </si>
  <si>
    <t>Rok obrotowy Grupy "MERCOR" S.A. trwa od 1 kwietnia do 31 marca</t>
  </si>
  <si>
    <t>Działalność kontynuowana</t>
  </si>
  <si>
    <t>Przychody ze sprzedaży</t>
  </si>
  <si>
    <t>Koszt własny sprzedaży</t>
  </si>
  <si>
    <t>Zysk brutto na sprzedaży</t>
  </si>
  <si>
    <t>Pozostałe przychody operacyjne</t>
  </si>
  <si>
    <t>Koszty sprzedaży</t>
  </si>
  <si>
    <t>Koszty ogólnego zarządu</t>
  </si>
  <si>
    <t>Pozostałe koszty operacyjne</t>
  </si>
  <si>
    <t>Zysk na działalności operacyjnej</t>
  </si>
  <si>
    <t>Przychody finansowe</t>
  </si>
  <si>
    <t>Koszty finansowe</t>
  </si>
  <si>
    <t>Zysk przed opodatkowaniem</t>
  </si>
  <si>
    <t>Podatek dochodowy</t>
  </si>
  <si>
    <t>Zysk netto na działalności kontynuowanej</t>
  </si>
  <si>
    <t>Zysk netto</t>
  </si>
  <si>
    <t>Przypadające:</t>
  </si>
  <si>
    <t>Akcjonariuszom podmiotu dominującego</t>
  </si>
  <si>
    <t>Udziałom niekontrolującym</t>
  </si>
  <si>
    <t>Inne całkowite dochody</t>
  </si>
  <si>
    <t>Całkowite dochody ogółem</t>
  </si>
  <si>
    <t>Zysk na akcję (PLN):</t>
  </si>
  <si>
    <t>Z działalności kontynuowanej:</t>
  </si>
  <si>
    <t>Zwykły</t>
  </si>
  <si>
    <t>Rozwodniony</t>
  </si>
  <si>
    <t>Z działalności kontynuowanej i zaniechanej:</t>
  </si>
  <si>
    <t>Aktywa trwałe</t>
  </si>
  <si>
    <t>Wartość firmy</t>
  </si>
  <si>
    <t>Pozostałe wartości niematerialne</t>
  </si>
  <si>
    <t>Rzeczowe aktywa trwałe</t>
  </si>
  <si>
    <t>Aktywa z tytułu odroczonego podatku dochodowego</t>
  </si>
  <si>
    <t>Inne aktywa długoterminowe</t>
  </si>
  <si>
    <t>Aktywa obrotowe</t>
  </si>
  <si>
    <t>Zapasy</t>
  </si>
  <si>
    <t>Aktywa finansowe</t>
  </si>
  <si>
    <t>Należności z tytułu dostaw i usług oraz pozostałe należności</t>
  </si>
  <si>
    <t>Należności z tytułu podatku dochodowego</t>
  </si>
  <si>
    <t>Inne aktywa obrotowe</t>
  </si>
  <si>
    <t>Środki pieniężne i ich ekwiwalenty</t>
  </si>
  <si>
    <t>Aktywa razem</t>
  </si>
  <si>
    <t>PASYWA</t>
  </si>
  <si>
    <t>AKTYWA</t>
  </si>
  <si>
    <t>Kapitał własny</t>
  </si>
  <si>
    <t>Kapitał akcyjny</t>
  </si>
  <si>
    <t>Kapitał zapasowy ze sprzedaży akcji powyżej ich wartości nominalnej</t>
  </si>
  <si>
    <t>Kapitał z aktualizacji wyceny</t>
  </si>
  <si>
    <t>Zyski zatrzymane</t>
  </si>
  <si>
    <t>Kapitały przypadające akcjonariuszom podmiotu dominującego</t>
  </si>
  <si>
    <t>Udziały niekontrolujące</t>
  </si>
  <si>
    <t>Razem kapitały własne</t>
  </si>
  <si>
    <t>Zobowiązanie długoterminowe</t>
  </si>
  <si>
    <t>Długoterminowe pożyczki i kredyty</t>
  </si>
  <si>
    <t>Rezerwa z tytułu podatku odroczonego</t>
  </si>
  <si>
    <t>Rezerwy na zobowiązania</t>
  </si>
  <si>
    <t>Przychody przyszłych okresów</t>
  </si>
  <si>
    <t>Pozostałe zobowiązania finansowe</t>
  </si>
  <si>
    <t>Zobowiązania krótkoterminowe</t>
  </si>
  <si>
    <t>Krótkoterminowe pożyczki i kredyty</t>
  </si>
  <si>
    <t>Działalność operacyjna</t>
  </si>
  <si>
    <t>Korekty o pozycje:</t>
  </si>
  <si>
    <t>Amortyzacja</t>
  </si>
  <si>
    <t>Zmiana stanu zapasów</t>
  </si>
  <si>
    <t>Zmiana stanu należności</t>
  </si>
  <si>
    <t>Zmiana stanu zobowiązań i rezerw</t>
  </si>
  <si>
    <t>Razem korekty</t>
  </si>
  <si>
    <t>Podatek dochodowy zapłacony</t>
  </si>
  <si>
    <t>Działalność inwestycyjna</t>
  </si>
  <si>
    <t>Wydatki na zakup rzeczowych aktywów trwałych oraz wartości niematerialnych</t>
  </si>
  <si>
    <t>Działalność finansowa</t>
  </si>
  <si>
    <t>Odsetki zapłacone</t>
  </si>
  <si>
    <t>Zmiana stanu środków pieniężnych z działalności kontynuowanej</t>
  </si>
  <si>
    <t>Zysk (strata) netto z działalności zaniechanej</t>
  </si>
  <si>
    <t>Zobowiązania z tytułu dostaw i usług oraz pozostałe zobowiązania</t>
  </si>
  <si>
    <t>Transakcje terminowe typu forward</t>
  </si>
  <si>
    <t>Zobowiązanie z tytułu podatku dochodowego</t>
  </si>
  <si>
    <t>Pasywa razem</t>
  </si>
  <si>
    <t>Zmiana stanu środków pieniężnych</t>
  </si>
  <si>
    <t>Środki pieniężne na początek okresu</t>
  </si>
  <si>
    <t>Środki pieniężne na koniec okresu</t>
  </si>
  <si>
    <t>Dane na koniec okresu</t>
  </si>
  <si>
    <t xml:space="preserve">Dane roczne  (1.04-31.03) - 12 miesięcy                                      </t>
  </si>
  <si>
    <t>* dane za 4 kw. wyliczone jako różnica, nieaudytowane.</t>
  </si>
  <si>
    <t>sierpień</t>
  </si>
  <si>
    <t>wrzesień</t>
  </si>
  <si>
    <t>październik</t>
  </si>
  <si>
    <t>styczeń</t>
  </si>
  <si>
    <t>kwiecień</t>
  </si>
  <si>
    <t>maj</t>
  </si>
  <si>
    <t>czerwiec</t>
  </si>
  <si>
    <t>lipiec</t>
  </si>
  <si>
    <t>listopad</t>
  </si>
  <si>
    <t>Kapitał z wyceny transakcji zabezpieczających i różnice kursowe z konsolidacji</t>
  </si>
  <si>
    <t>grudzień</t>
  </si>
  <si>
    <t>Aktywa z tytułu praw do użytkowania</t>
  </si>
  <si>
    <t>Różnice kursowe z przeliczenia jednostek zagranicznych</t>
  </si>
  <si>
    <t>Zobowiązania z tytułu praw do użytkowania</t>
  </si>
  <si>
    <t>Zobowiązania z tytułu leasingu</t>
  </si>
  <si>
    <t>Różnice kursowe z przeliczenia sprawozdań
finansowych jednostek zagranicznych
(MSSF 15)</t>
  </si>
  <si>
    <t>Zysk (strata) przed opodatkowaniem</t>
  </si>
  <si>
    <t>Odsetki naliczone</t>
  </si>
  <si>
    <t>(Zyski) straty z działalności inwestycyjne</t>
  </si>
  <si>
    <t>Inne korekty (różnice kursowe z konsolidacji)</t>
  </si>
  <si>
    <t>Środki pieniężne netto z działalności operacyjnej</t>
  </si>
  <si>
    <t>Odsetki uzyskane</t>
  </si>
  <si>
    <t>Wpływy ze sprzedaży rzeczowych aktywów trwałych</t>
  </si>
  <si>
    <t>Dotacje do projektów rozwojowych</t>
  </si>
  <si>
    <t>Środki pieniężne netto z działalności inwestycyjnej</t>
  </si>
  <si>
    <t>Zaciągnięcie (spłata) kredytów i pożyczek</t>
  </si>
  <si>
    <t>Zaciągnięcie (spłata) zobowiązań z tytułu leasingu</t>
  </si>
  <si>
    <t>Skup akcji własnych</t>
  </si>
  <si>
    <t>Wypłacone dywidendy</t>
  </si>
  <si>
    <t>Środki pieniężne netto z działalności finansowej</t>
  </si>
  <si>
    <t>Zmiana stanu środków pieniężnych z działalności zaniechanej (działalność operacyjna)</t>
  </si>
  <si>
    <t>2019/20</t>
  </si>
  <si>
    <t>2018/19</t>
  </si>
  <si>
    <t>(30.09.2020)</t>
  </si>
  <si>
    <t>(30.06.2020)</t>
  </si>
  <si>
    <t>(31.03.2020)</t>
  </si>
  <si>
    <t>(31.12.2019)</t>
  </si>
  <si>
    <t>(30.09.2019)</t>
  </si>
  <si>
    <t xml:space="preserve"> (30.06.2019)</t>
  </si>
  <si>
    <t>2Q  (30.09.2020)</t>
  </si>
  <si>
    <t>1Q (30.06.2020)</t>
  </si>
  <si>
    <t>4Q* (31.03.2019)</t>
  </si>
  <si>
    <t>3Q (31.12.2019)</t>
  </si>
  <si>
    <t>2Q (30.09.2019)</t>
  </si>
  <si>
    <t>1Q (30.06.2019)</t>
  </si>
  <si>
    <t>1Q 2019/20</t>
  </si>
  <si>
    <t>2Q 2019/20</t>
  </si>
  <si>
    <t>3Q 2019/20</t>
  </si>
  <si>
    <t>4Q 2019/20</t>
  </si>
  <si>
    <t>(31.12.2020)</t>
  </si>
  <si>
    <t>Akcje własne</t>
  </si>
  <si>
    <t>3Q  (31.12.2020)</t>
  </si>
  <si>
    <t>1Q 2020/21</t>
  </si>
  <si>
    <t>2Q 2020/21</t>
  </si>
  <si>
    <t>3Q 2020/21</t>
  </si>
  <si>
    <t>4Q* (31.03.2020)</t>
  </si>
  <si>
    <t>Udzielenie pożyczek</t>
  </si>
  <si>
    <t>Wpływy z podwyższenia kapitału spółki zależnej</t>
  </si>
  <si>
    <t>FY 2020/21</t>
  </si>
  <si>
    <t>FY 2019/20</t>
  </si>
  <si>
    <t>FY 2021/22</t>
  </si>
  <si>
    <t>luty</t>
  </si>
  <si>
    <t>marzec</t>
  </si>
  <si>
    <t>2020/21</t>
  </si>
  <si>
    <t>(31.03.2021)</t>
  </si>
  <si>
    <t>Należności z tytulu kaucji długoterminowych</t>
  </si>
  <si>
    <t>Aktywa z tytułu umów z klientami</t>
  </si>
  <si>
    <t>Należności z tytułu kaucji krótkoterminowych</t>
  </si>
  <si>
    <t>(01.04.2019)</t>
  </si>
  <si>
    <t>Zobowiązania z tytulu umów z klientami</t>
  </si>
  <si>
    <t>Pozostałe zobowiązania dlugoterminowe</t>
  </si>
  <si>
    <t>(Oczekiwana strata)/odwrócenie oczekiwanej straty kredytowej</t>
  </si>
  <si>
    <t>4Q  (31.03.2021)</t>
  </si>
  <si>
    <t>4Q 2020/21</t>
  </si>
  <si>
    <t>Zmiana stanu aktywów i zobowiązań z tytułu umów z klientami</t>
  </si>
  <si>
    <t>1Q  (30.06.2021)</t>
  </si>
  <si>
    <t>(30.06.2021)</t>
  </si>
  <si>
    <t>1Q 2021/22</t>
  </si>
  <si>
    <t>(30.09.2021)</t>
  </si>
  <si>
    <t>2Q  (30.09.2021)</t>
  </si>
  <si>
    <t>2Q 2021/22</t>
  </si>
  <si>
    <t>3Q 2021/22</t>
  </si>
  <si>
    <t>(31.12.2021)</t>
  </si>
  <si>
    <t>3Q  (31.12.2021)</t>
  </si>
  <si>
    <t>2021/22</t>
  </si>
  <si>
    <t>Inwestycje w jednostki konsolidowane metodą praw własności</t>
  </si>
  <si>
    <t>Pozostałe aktywa finansowe</t>
  </si>
  <si>
    <t>Kapitał rezerwowy przeznaczony na skup akcji własnych</t>
  </si>
  <si>
    <t>Kapitał rezerwowy z połączenia jednostek</t>
  </si>
  <si>
    <t>(31.03.2022)</t>
  </si>
  <si>
    <t>Udział w zyskach/(stratach) jednostek wycenianych metodą praw własności</t>
  </si>
  <si>
    <t>4Q  (31.03.2022)</t>
  </si>
  <si>
    <t>Zmiana stanu innych aktywów</t>
  </si>
  <si>
    <t>Wydatki na nabycie aktywów finansowych</t>
  </si>
  <si>
    <t>Spłata zobowiązań z tytułu praw do użytkowania</t>
  </si>
  <si>
    <t>4Q 2021/22</t>
  </si>
  <si>
    <t>1Q  (30.06.2022)</t>
  </si>
  <si>
    <t>(30.06.2022)</t>
  </si>
  <si>
    <t>1Q 2022/23</t>
  </si>
  <si>
    <t>FY 2022/23</t>
  </si>
  <si>
    <t>Podstawowe dane finansowe za lata obrotowe 2015/2016 - 2022/2023</t>
  </si>
  <si>
    <t>2Q 2022/23</t>
  </si>
  <si>
    <t>(30.09.2022)</t>
  </si>
  <si>
    <t>2Q  (30.09.2022)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</si>
</sst>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;\(#,##0\)\ _z_ł"/>
    <numFmt numFmtId="165" formatCode="0.0"/>
  </numFmts>
  <fonts count="49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1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11"/>
      <color theme="0"/>
      <name val="Czcionka tekstu podstawowego"/>
      <charset val="238"/>
    </font>
    <font>
      <sz val="8"/>
      <color theme="0"/>
      <name val="Tahoma"/>
      <family val="2"/>
      <charset val="238"/>
    </font>
    <font>
      <b/>
      <sz val="11"/>
      <color rgb="FFC00000"/>
      <name val="Czcionka tekstu podstawowego"/>
      <charset val="238"/>
    </font>
    <font>
      <i/>
      <sz val="9"/>
      <color theme="1"/>
      <name val="Czcionka tekstu podstawowego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11"/>
      <color rgb="FFC00000"/>
      <name val="Czcionka tekstu podstawowego"/>
      <family val="2"/>
      <charset val="238"/>
    </font>
    <font>
      <sz val="11"/>
      <color theme="5" tint="0.39997558519241921"/>
      <name val="Czcionka tekstu podstawowego"/>
      <family val="2"/>
      <charset val="238"/>
    </font>
    <font>
      <b/>
      <sz val="11"/>
      <color theme="5" tint="0.39997558519241921"/>
      <name val="Czcionka tekstu podstawowego"/>
      <family val="2"/>
      <charset val="238"/>
    </font>
    <font>
      <i/>
      <sz val="8"/>
      <name val="Tahoma"/>
      <family val="2"/>
      <charset val="238"/>
    </font>
    <font>
      <sz val="8"/>
      <color rgb="FFC00000"/>
      <name val="Czcionka tekstu podstawowego"/>
      <family val="2"/>
      <charset val="238"/>
    </font>
    <font>
      <sz val="14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0"/>
      <name val="Tahoma"/>
      <family val="2"/>
      <charset val="238"/>
    </font>
    <font>
      <i/>
      <sz val="8"/>
      <color theme="1"/>
      <name val="Czcionka tekstu podstawowego"/>
      <family val="2"/>
      <charset val="238"/>
    </font>
    <font>
      <sz val="8"/>
      <color theme="1"/>
      <name val="Ebrima"/>
      <charset val="238"/>
    </font>
    <font>
      <i/>
      <sz val="8"/>
      <color theme="1"/>
      <name val="Ebrima"/>
      <charset val="238"/>
    </font>
    <font>
      <sz val="8"/>
      <name val="Ebrima"/>
      <charset val="238"/>
    </font>
    <font>
      <i/>
      <sz val="8"/>
      <name val="Ebrima"/>
      <charset val="238"/>
    </font>
    <font>
      <b/>
      <sz val="8"/>
      <color theme="0"/>
      <name val="Tahoma"/>
      <family val="2"/>
    </font>
    <font>
      <b/>
      <sz val="8"/>
      <color theme="1"/>
      <name val="Ebrima"/>
      <charset val="238"/>
    </font>
    <font>
      <i/>
      <sz val="8"/>
      <color rgb="FF000000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zcionka tekstu podstawowego"/>
      <charset val="238"/>
    </font>
    <font>
      <i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000000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3" fillId="2" borderId="0" xfId="0" applyFont="1" applyFill="1" applyAlignment="1" applyProtection="1"/>
    <xf numFmtId="0" fontId="0" fillId="2" borderId="0" xfId="0" applyFont="1" applyFill="1" applyAlignment="1"/>
    <xf numFmtId="0" fontId="3" fillId="2" borderId="0" xfId="0" applyFont="1" applyFill="1" applyBorder="1" applyAlignment="1" applyProtection="1"/>
    <xf numFmtId="0" fontId="4" fillId="2" borderId="0" xfId="0" applyFont="1" applyFill="1" applyAlignment="1" applyProtection="1"/>
    <xf numFmtId="0" fontId="4" fillId="2" borderId="0" xfId="0" applyFont="1" applyFill="1" applyAlignment="1"/>
    <xf numFmtId="0" fontId="5" fillId="2" borderId="0" xfId="0" applyFont="1" applyFill="1" applyAlignment="1" applyProtection="1"/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0" fillId="4" borderId="0" xfId="0" applyFill="1" applyAlignment="1">
      <alignment horizontal="left" vertical="center"/>
    </xf>
    <xf numFmtId="0" fontId="0" fillId="4" borderId="0" xfId="0" applyFill="1"/>
    <xf numFmtId="164" fontId="2" fillId="2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/>
    <xf numFmtId="3" fontId="8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8" fillId="2" borderId="0" xfId="0" applyFont="1" applyFill="1"/>
    <xf numFmtId="164" fontId="9" fillId="0" borderId="8" xfId="0" applyNumberFormat="1" applyFont="1" applyFill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9" fillId="0" borderId="8" xfId="0" applyFont="1" applyFill="1" applyBorder="1"/>
    <xf numFmtId="3" fontId="1" fillId="0" borderId="8" xfId="0" applyNumberFormat="1" applyFont="1" applyFill="1" applyBorder="1" applyAlignment="1">
      <alignment horizontal="right" vertical="center" wrapText="1"/>
    </xf>
    <xf numFmtId="164" fontId="2" fillId="0" borderId="8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/>
    <xf numFmtId="0" fontId="23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2" borderId="0" xfId="0" applyFill="1" applyAlignment="1"/>
    <xf numFmtId="0" fontId="28" fillId="2" borderId="0" xfId="0" applyFont="1" applyFill="1" applyAlignment="1"/>
    <xf numFmtId="0" fontId="29" fillId="2" borderId="0" xfId="0" applyFont="1" applyFill="1" applyAlignment="1"/>
    <xf numFmtId="0" fontId="30" fillId="2" borderId="0" xfId="0" applyFont="1" applyFill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9" fillId="0" borderId="14" xfId="0" applyFont="1" applyFill="1" applyBorder="1"/>
    <xf numFmtId="3" fontId="2" fillId="0" borderId="0" xfId="0" applyNumberFormat="1" applyFont="1" applyFill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 indent="1"/>
    </xf>
    <xf numFmtId="0" fontId="31" fillId="3" borderId="0" xfId="0" applyFont="1" applyFill="1"/>
    <xf numFmtId="0" fontId="19" fillId="3" borderId="0" xfId="0" applyFont="1" applyFill="1"/>
    <xf numFmtId="0" fontId="0" fillId="3" borderId="0" xfId="0" applyFill="1" applyAlignment="1"/>
    <xf numFmtId="0" fontId="0" fillId="2" borderId="0" xfId="0" applyFill="1" applyBorder="1"/>
    <xf numFmtId="0" fontId="0" fillId="0" borderId="6" xfId="0" applyFill="1" applyBorder="1"/>
    <xf numFmtId="49" fontId="14" fillId="5" borderId="7" xfId="0" applyNumberFormat="1" applyFont="1" applyFill="1" applyBorder="1"/>
    <xf numFmtId="49" fontId="14" fillId="5" borderId="3" xfId="0" applyNumberFormat="1" applyFont="1" applyFill="1" applyBorder="1"/>
    <xf numFmtId="49" fontId="14" fillId="5" borderId="4" xfId="0" applyNumberFormat="1" applyFont="1" applyFill="1" applyBorder="1"/>
    <xf numFmtId="0" fontId="13" fillId="5" borderId="9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0" fillId="0" borderId="12" xfId="0" applyFill="1" applyBorder="1"/>
    <xf numFmtId="3" fontId="9" fillId="6" borderId="0" xfId="0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horizontal="right" vertical="center" wrapText="1"/>
    </xf>
    <xf numFmtId="3" fontId="38" fillId="6" borderId="8" xfId="0" applyNumberFormat="1" applyFont="1" applyFill="1" applyBorder="1" applyAlignment="1">
      <alignment horizontal="right" vertical="center" wrapText="1"/>
    </xf>
    <xf numFmtId="3" fontId="37" fillId="6" borderId="8" xfId="0" applyNumberFormat="1" applyFont="1" applyFill="1" applyBorder="1" applyAlignment="1">
      <alignment horizontal="right" vertical="center" wrapText="1"/>
    </xf>
    <xf numFmtId="3" fontId="8" fillId="6" borderId="9" xfId="0" applyNumberFormat="1" applyFont="1" applyFill="1" applyBorder="1" applyAlignment="1">
      <alignment horizontal="right" vertical="center" wrapText="1"/>
    </xf>
    <xf numFmtId="3" fontId="8" fillId="6" borderId="0" xfId="0" applyNumberFormat="1" applyFont="1" applyFill="1" applyBorder="1" applyAlignment="1">
      <alignment horizontal="right" vertical="center" wrapText="1"/>
    </xf>
    <xf numFmtId="3" fontId="19" fillId="6" borderId="0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/>
    <xf numFmtId="3" fontId="9" fillId="0" borderId="0" xfId="0" applyNumberFormat="1" applyFont="1" applyFill="1" applyBorder="1"/>
    <xf numFmtId="3" fontId="0" fillId="0" borderId="0" xfId="0" applyNumberFormat="1" applyFill="1" applyBorder="1"/>
    <xf numFmtId="3" fontId="9" fillId="0" borderId="0" xfId="0" applyNumberFormat="1" applyFont="1" applyBorder="1" applyAlignment="1">
      <alignment horizontal="right" vertical="center"/>
    </xf>
    <xf numFmtId="3" fontId="21" fillId="6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9" fillId="6" borderId="8" xfId="0" applyNumberFormat="1" applyFont="1" applyFill="1" applyBorder="1" applyAlignment="1">
      <alignment horizontal="right" vertical="center" wrapText="1"/>
    </xf>
    <xf numFmtId="3" fontId="9" fillId="6" borderId="13" xfId="0" applyNumberFormat="1" applyFont="1" applyFill="1" applyBorder="1" applyAlignment="1">
      <alignment horizontal="right" vertical="center" wrapText="1"/>
    </xf>
    <xf numFmtId="3" fontId="9" fillId="6" borderId="8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vertical="center"/>
    </xf>
    <xf numFmtId="3" fontId="21" fillId="6" borderId="0" xfId="0" applyNumberFormat="1" applyFont="1" applyFill="1" applyBorder="1" applyAlignment="1">
      <alignment vertical="center" wrapText="1"/>
    </xf>
    <xf numFmtId="3" fontId="8" fillId="6" borderId="8" xfId="0" applyNumberFormat="1" applyFont="1" applyFill="1" applyBorder="1" applyAlignment="1">
      <alignment horizontal="right" vertical="center" wrapText="1"/>
    </xf>
    <xf numFmtId="3" fontId="8" fillId="6" borderId="6" xfId="0" applyNumberFormat="1" applyFont="1" applyFill="1" applyBorder="1" applyAlignment="1">
      <alignment horizontal="right" vertical="center" wrapText="1"/>
    </xf>
    <xf numFmtId="3" fontId="9" fillId="6" borderId="10" xfId="0" applyNumberFormat="1" applyFont="1" applyFill="1" applyBorder="1" applyAlignment="1">
      <alignment horizontal="right" vertical="center" wrapText="1"/>
    </xf>
    <xf numFmtId="3" fontId="9" fillId="6" borderId="6" xfId="0" applyNumberFormat="1" applyFont="1" applyFill="1" applyBorder="1" applyAlignment="1">
      <alignment horizontal="right" vertical="center" wrapText="1"/>
    </xf>
    <xf numFmtId="3" fontId="1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 wrapText="1"/>
    </xf>
    <xf numFmtId="3" fontId="21" fillId="6" borderId="8" xfId="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4" fontId="21" fillId="6" borderId="0" xfId="0" applyNumberFormat="1" applyFont="1" applyFill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3" fontId="8" fillId="6" borderId="7" xfId="0" applyNumberFormat="1" applyFont="1" applyFill="1" applyBorder="1" applyAlignment="1">
      <alignment horizontal="right" vertical="center" wrapText="1"/>
    </xf>
    <xf numFmtId="3" fontId="8" fillId="6" borderId="3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14" fillId="4" borderId="0" xfId="0" applyFont="1" applyFill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19" fillId="0" borderId="0" xfId="0" applyNumberFormat="1" applyFont="1" applyBorder="1" applyAlignment="1">
      <alignment horizontal="right" vertical="center" wrapText="1"/>
    </xf>
    <xf numFmtId="3" fontId="37" fillId="6" borderId="0" xfId="0" applyNumberFormat="1" applyFont="1" applyFill="1" applyBorder="1" applyAlignment="1">
      <alignment horizontal="right" vertical="center" wrapText="1"/>
    </xf>
    <xf numFmtId="3" fontId="38" fillId="6" borderId="0" xfId="0" applyNumberFormat="1" applyFont="1" applyFill="1" applyBorder="1" applyAlignment="1">
      <alignment horizontal="right" vertical="center" wrapText="1"/>
    </xf>
    <xf numFmtId="4" fontId="9" fillId="6" borderId="0" xfId="0" applyNumberFormat="1" applyFont="1" applyFill="1" applyBorder="1" applyAlignment="1">
      <alignment horizontal="right" vertical="center" wrapText="1"/>
    </xf>
    <xf numFmtId="4" fontId="9" fillId="6" borderId="6" xfId="0" applyNumberFormat="1" applyFont="1" applyFill="1" applyBorder="1" applyAlignment="1">
      <alignment horizontal="right" vertical="center" wrapText="1"/>
    </xf>
    <xf numFmtId="3" fontId="21" fillId="6" borderId="0" xfId="0" applyNumberFormat="1" applyFont="1" applyFill="1" applyBorder="1" applyAlignment="1">
      <alignment vertical="center"/>
    </xf>
    <xf numFmtId="3" fontId="0" fillId="3" borderId="0" xfId="0" applyNumberFormat="1" applyFill="1"/>
    <xf numFmtId="3" fontId="39" fillId="6" borderId="8" xfId="0" applyNumberFormat="1" applyFont="1" applyFill="1" applyBorder="1" applyAlignment="1">
      <alignment horizontal="right" vertical="center" wrapText="1"/>
    </xf>
    <xf numFmtId="3" fontId="40" fillId="6" borderId="8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8" xfId="0" applyFill="1" applyBorder="1"/>
    <xf numFmtId="0" fontId="0" fillId="0" borderId="13" xfId="0" applyFill="1" applyBorder="1"/>
    <xf numFmtId="165" fontId="0" fillId="0" borderId="6" xfId="0" applyNumberFormat="1" applyFill="1" applyBorder="1"/>
    <xf numFmtId="0" fontId="34" fillId="2" borderId="0" xfId="0" applyFont="1" applyFill="1" applyBorder="1" applyAlignment="1">
      <alignment horizontal="right"/>
    </xf>
    <xf numFmtId="49" fontId="14" fillId="5" borderId="0" xfId="0" applyNumberFormat="1" applyFont="1" applyFill="1" applyBorder="1"/>
    <xf numFmtId="0" fontId="0" fillId="2" borderId="6" xfId="0" applyFill="1" applyBorder="1"/>
    <xf numFmtId="0" fontId="13" fillId="5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19" fillId="6" borderId="0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31" fillId="6" borderId="0" xfId="0" applyNumberFormat="1" applyFont="1" applyFill="1" applyBorder="1" applyAlignment="1">
      <alignment horizontal="right" vertical="center" wrapText="1"/>
    </xf>
    <xf numFmtId="3" fontId="1" fillId="6" borderId="1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Border="1" applyAlignment="1">
      <alignment horizontal="right" vertical="center" wrapText="1"/>
    </xf>
    <xf numFmtId="4" fontId="21" fillId="0" borderId="0" xfId="0" applyNumberFormat="1" applyFont="1" applyFill="1" applyBorder="1"/>
    <xf numFmtId="3" fontId="26" fillId="0" borderId="0" xfId="0" applyNumberFormat="1" applyFont="1" applyFill="1" applyBorder="1"/>
    <xf numFmtId="3" fontId="21" fillId="6" borderId="0" xfId="0" applyNumberFormat="1" applyFont="1" applyFill="1" applyBorder="1"/>
    <xf numFmtId="3" fontId="2" fillId="0" borderId="0" xfId="0" applyNumberFormat="1" applyFont="1" applyFill="1" applyBorder="1" applyAlignment="1">
      <alignment vertical="center" wrapText="1"/>
    </xf>
    <xf numFmtId="164" fontId="0" fillId="3" borderId="0" xfId="0" applyNumberFormat="1" applyFill="1" applyBorder="1"/>
    <xf numFmtId="0" fontId="13" fillId="5" borderId="10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right" vertical="center" wrapText="1"/>
    </xf>
    <xf numFmtId="3" fontId="8" fillId="6" borderId="16" xfId="0" applyNumberFormat="1" applyFont="1" applyFill="1" applyBorder="1" applyAlignment="1">
      <alignment horizontal="right" vertical="center" wrapText="1"/>
    </xf>
    <xf numFmtId="3" fontId="8" fillId="6" borderId="17" xfId="0" applyNumberFormat="1" applyFont="1" applyFill="1" applyBorder="1" applyAlignment="1">
      <alignment horizontal="right" vertical="center" wrapText="1"/>
    </xf>
    <xf numFmtId="3" fontId="9" fillId="6" borderId="16" xfId="0" applyNumberFormat="1" applyFont="1" applyFill="1" applyBorder="1" applyAlignment="1">
      <alignment horizontal="right" vertical="center" wrapText="1"/>
    </xf>
    <xf numFmtId="3" fontId="9" fillId="6" borderId="15" xfId="0" applyNumberFormat="1" applyFont="1" applyFill="1" applyBorder="1" applyAlignment="1">
      <alignment horizontal="right" vertical="center" wrapText="1"/>
    </xf>
    <xf numFmtId="3" fontId="9" fillId="6" borderId="22" xfId="0" applyNumberFormat="1" applyFont="1" applyFill="1" applyBorder="1" applyAlignment="1">
      <alignment horizontal="right" vertical="center" wrapText="1"/>
    </xf>
    <xf numFmtId="3" fontId="9" fillId="6" borderId="23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19" fillId="6" borderId="22" xfId="0" applyNumberFormat="1" applyFont="1" applyFill="1" applyBorder="1" applyAlignment="1">
      <alignment horizontal="right" vertical="center" wrapText="1"/>
    </xf>
    <xf numFmtId="3" fontId="21" fillId="6" borderId="22" xfId="0" applyNumberFormat="1" applyFont="1" applyFill="1" applyBorder="1" applyAlignment="1">
      <alignment horizontal="right" vertical="center" wrapText="1"/>
    </xf>
    <xf numFmtId="3" fontId="9" fillId="0" borderId="22" xfId="0" applyNumberFormat="1" applyFont="1" applyFill="1" applyBorder="1"/>
    <xf numFmtId="0" fontId="13" fillId="5" borderId="10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justify" vertical="center" wrapText="1"/>
    </xf>
    <xf numFmtId="3" fontId="8" fillId="6" borderId="13" xfId="0" applyNumberFormat="1" applyFont="1" applyFill="1" applyBorder="1" applyAlignment="1">
      <alignment horizontal="right" vertical="center" wrapText="1"/>
    </xf>
    <xf numFmtId="0" fontId="13" fillId="5" borderId="24" xfId="0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right" vertical="center" wrapText="1"/>
    </xf>
    <xf numFmtId="3" fontId="38" fillId="6" borderId="22" xfId="0" applyNumberFormat="1" applyFont="1" applyFill="1" applyBorder="1" applyAlignment="1">
      <alignment horizontal="right" vertical="center" wrapText="1"/>
    </xf>
    <xf numFmtId="3" fontId="8" fillId="6" borderId="25" xfId="0" applyNumberFormat="1" applyFont="1" applyFill="1" applyBorder="1" applyAlignment="1">
      <alignment horizontal="right" vertical="center" wrapText="1"/>
    </xf>
    <xf numFmtId="3" fontId="3" fillId="6" borderId="22" xfId="0" applyNumberFormat="1" applyFont="1" applyFill="1" applyBorder="1" applyAlignment="1">
      <alignment vertical="center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3" fontId="31" fillId="6" borderId="22" xfId="0" applyNumberFormat="1" applyFont="1" applyFill="1" applyBorder="1" applyAlignment="1">
      <alignment horizontal="right" vertical="center" wrapText="1"/>
    </xf>
    <xf numFmtId="3" fontId="19" fillId="6" borderId="23" xfId="0" applyNumberFormat="1" applyFont="1" applyFill="1" applyBorder="1" applyAlignment="1">
      <alignment horizontal="right" vertical="center" wrapText="1"/>
    </xf>
    <xf numFmtId="3" fontId="8" fillId="6" borderId="22" xfId="0" applyNumberFormat="1" applyFont="1" applyFill="1" applyBorder="1" applyAlignment="1">
      <alignment horizontal="right" vertical="center" wrapText="1"/>
    </xf>
    <xf numFmtId="3" fontId="9" fillId="6" borderId="26" xfId="0" applyNumberFormat="1" applyFont="1" applyFill="1" applyBorder="1" applyAlignment="1">
      <alignment horizontal="right" vertical="center" wrapText="1"/>
    </xf>
    <xf numFmtId="3" fontId="8" fillId="6" borderId="31" xfId="0" applyNumberFormat="1" applyFont="1" applyFill="1" applyBorder="1" applyAlignment="1">
      <alignment horizontal="right" vertical="center" wrapText="1"/>
    </xf>
    <xf numFmtId="3" fontId="37" fillId="6" borderId="23" xfId="0" applyNumberFormat="1" applyFont="1" applyFill="1" applyBorder="1" applyAlignment="1">
      <alignment horizontal="right" vertical="center" wrapText="1"/>
    </xf>
    <xf numFmtId="3" fontId="37" fillId="6" borderId="22" xfId="0" applyNumberFormat="1" applyFont="1" applyFill="1" applyBorder="1" applyAlignment="1">
      <alignment horizontal="right" vertical="center" wrapText="1"/>
    </xf>
    <xf numFmtId="3" fontId="2" fillId="7" borderId="23" xfId="0" applyNumberFormat="1" applyFont="1" applyFill="1" applyBorder="1" applyAlignment="1">
      <alignment horizontal="right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horizontal="right" vertical="center" wrapText="1"/>
    </xf>
    <xf numFmtId="3" fontId="8" fillId="6" borderId="23" xfId="0" applyNumberFormat="1" applyFont="1" applyFill="1" applyBorder="1" applyAlignment="1">
      <alignment horizontal="right" vertical="center" wrapText="1"/>
    </xf>
    <xf numFmtId="3" fontId="8" fillId="0" borderId="22" xfId="0" applyNumberFormat="1" applyFont="1" applyBorder="1" applyAlignment="1">
      <alignment horizontal="right" vertical="center" wrapText="1"/>
    </xf>
    <xf numFmtId="3" fontId="8" fillId="0" borderId="23" xfId="0" applyNumberFormat="1" applyFont="1" applyBorder="1" applyAlignment="1">
      <alignment horizontal="right" vertical="center" wrapText="1"/>
    </xf>
    <xf numFmtId="3" fontId="9" fillId="0" borderId="23" xfId="0" applyNumberFormat="1" applyFont="1" applyFill="1" applyBorder="1"/>
    <xf numFmtId="3" fontId="9" fillId="0" borderId="22" xfId="0" applyNumberFormat="1" applyFont="1" applyBorder="1" applyAlignment="1">
      <alignment horizontal="right" vertical="center" wrapText="1"/>
    </xf>
    <xf numFmtId="3" fontId="9" fillId="0" borderId="23" xfId="0" applyNumberFormat="1" applyFont="1" applyBorder="1" applyAlignment="1">
      <alignment horizontal="right" vertical="center"/>
    </xf>
    <xf numFmtId="3" fontId="13" fillId="0" borderId="23" xfId="0" applyNumberFormat="1" applyFont="1" applyFill="1" applyBorder="1" applyAlignment="1">
      <alignment vertical="center" wrapText="1"/>
    </xf>
    <xf numFmtId="3" fontId="43" fillId="7" borderId="0" xfId="0" applyNumberFormat="1" applyFont="1" applyFill="1" applyBorder="1" applyAlignment="1">
      <alignment vertical="center"/>
    </xf>
    <xf numFmtId="3" fontId="2" fillId="7" borderId="0" xfId="0" applyNumberFormat="1" applyFont="1" applyFill="1" applyBorder="1" applyAlignment="1">
      <alignment horizontal="right" vertical="center" wrapText="1"/>
    </xf>
    <xf numFmtId="164" fontId="2" fillId="0" borderId="18" xfId="0" applyNumberFormat="1" applyFont="1" applyFill="1" applyBorder="1" applyAlignment="1">
      <alignment horizontal="right" vertical="center" wrapText="1"/>
    </xf>
    <xf numFmtId="164" fontId="2" fillId="0" borderId="19" xfId="0" applyNumberFormat="1" applyFont="1" applyFill="1" applyBorder="1" applyAlignment="1">
      <alignment horizontal="right" vertical="center" wrapText="1"/>
    </xf>
    <xf numFmtId="3" fontId="44" fillId="7" borderId="23" xfId="0" applyNumberFormat="1" applyFont="1" applyFill="1" applyBorder="1" applyAlignment="1">
      <alignment horizontal="right" vertical="center" wrapText="1"/>
    </xf>
    <xf numFmtId="3" fontId="46" fillId="6" borderId="0" xfId="0" applyNumberFormat="1" applyFont="1" applyFill="1" applyBorder="1" applyAlignment="1">
      <alignment horizontal="right" vertical="center" wrapText="1"/>
    </xf>
    <xf numFmtId="3" fontId="46" fillId="6" borderId="0" xfId="0" applyNumberFormat="1" applyFont="1" applyFill="1" applyBorder="1" applyAlignment="1">
      <alignment vertical="center"/>
    </xf>
    <xf numFmtId="3" fontId="45" fillId="6" borderId="10" xfId="0" applyNumberFormat="1" applyFont="1" applyFill="1" applyBorder="1" applyAlignment="1">
      <alignment horizontal="right" vertical="center" wrapText="1"/>
    </xf>
    <xf numFmtId="3" fontId="48" fillId="6" borderId="22" xfId="0" applyNumberFormat="1" applyFont="1" applyFill="1" applyBorder="1" applyAlignment="1">
      <alignment horizontal="right" vertical="center" wrapText="1"/>
    </xf>
    <xf numFmtId="3" fontId="48" fillId="6" borderId="0" xfId="0" applyNumberFormat="1" applyFont="1" applyFill="1" applyBorder="1" applyAlignment="1">
      <alignment horizontal="right" vertical="center" wrapText="1"/>
    </xf>
    <xf numFmtId="3" fontId="42" fillId="6" borderId="0" xfId="0" applyNumberFormat="1" applyFont="1" applyFill="1" applyBorder="1" applyAlignment="1">
      <alignment horizontal="right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vertical="center" wrapText="1"/>
    </xf>
    <xf numFmtId="3" fontId="44" fillId="7" borderId="0" xfId="0" applyNumberFormat="1" applyFont="1" applyFill="1" applyBorder="1" applyAlignment="1">
      <alignment horizontal="right" vertical="center" wrapText="1"/>
    </xf>
    <xf numFmtId="3" fontId="8" fillId="6" borderId="11" xfId="0" applyNumberFormat="1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2" fillId="6" borderId="0" xfId="0" applyNumberFormat="1" applyFont="1" applyFill="1" applyBorder="1" applyAlignment="1">
      <alignment horizontal="right" vertical="center" wrapText="1"/>
    </xf>
    <xf numFmtId="3" fontId="39" fillId="0" borderId="8" xfId="0" applyNumberFormat="1" applyFont="1" applyBorder="1" applyAlignment="1">
      <alignment horizontal="right" vertical="center" wrapText="1"/>
    </xf>
    <xf numFmtId="3" fontId="37" fillId="0" borderId="0" xfId="0" applyNumberFormat="1" applyFont="1" applyBorder="1" applyAlignment="1">
      <alignment horizontal="right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19" fillId="6" borderId="0" xfId="0" applyNumberFormat="1" applyFont="1" applyFill="1" applyBorder="1" applyAlignment="1">
      <alignment horizontal="right" vertical="center"/>
    </xf>
    <xf numFmtId="3" fontId="36" fillId="6" borderId="8" xfId="0" applyNumberFormat="1" applyFont="1" applyFill="1" applyBorder="1" applyAlignment="1">
      <alignment vertical="center"/>
    </xf>
    <xf numFmtId="3" fontId="36" fillId="6" borderId="0" xfId="0" applyNumberFormat="1" applyFont="1" applyFill="1" applyBorder="1" applyAlignment="1">
      <alignment vertical="center"/>
    </xf>
    <xf numFmtId="3" fontId="36" fillId="6" borderId="22" xfId="0" applyNumberFormat="1" applyFont="1" applyFill="1" applyBorder="1" applyAlignment="1">
      <alignment vertical="center"/>
    </xf>
    <xf numFmtId="3" fontId="40" fillId="6" borderId="0" xfId="0" applyNumberFormat="1" applyFont="1" applyFill="1" applyBorder="1" applyAlignment="1">
      <alignment horizontal="right" vertical="center" wrapText="1"/>
    </xf>
    <xf numFmtId="3" fontId="38" fillId="6" borderId="23" xfId="0" applyNumberFormat="1" applyFont="1" applyFill="1" applyBorder="1" applyAlignment="1">
      <alignment horizontal="right" vertical="center" wrapText="1"/>
    </xf>
    <xf numFmtId="3" fontId="42" fillId="6" borderId="22" xfId="0" applyNumberFormat="1" applyFont="1" applyFill="1" applyBorder="1" applyAlignment="1">
      <alignment horizontal="right" vertical="center" wrapText="1"/>
    </xf>
    <xf numFmtId="3" fontId="37" fillId="0" borderId="8" xfId="0" applyNumberFormat="1" applyFont="1" applyBorder="1" applyAlignment="1">
      <alignment horizontal="right" vertical="center"/>
    </xf>
    <xf numFmtId="3" fontId="37" fillId="0" borderId="0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3" fillId="0" borderId="22" xfId="0" applyNumberFormat="1" applyFont="1" applyFill="1" applyBorder="1"/>
    <xf numFmtId="3" fontId="47" fillId="6" borderId="0" xfId="0" applyNumberFormat="1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3" fontId="25" fillId="6" borderId="6" xfId="0" applyNumberFormat="1" applyFont="1" applyFill="1" applyBorder="1" applyAlignment="1">
      <alignment horizontal="right" vertical="center" wrapText="1"/>
    </xf>
    <xf numFmtId="3" fontId="8" fillId="6" borderId="26" xfId="0" applyNumberFormat="1" applyFont="1" applyFill="1" applyBorder="1" applyAlignment="1">
      <alignment horizontal="right" vertical="center" wrapText="1"/>
    </xf>
    <xf numFmtId="3" fontId="45" fillId="6" borderId="6" xfId="0" applyNumberFormat="1" applyFont="1" applyFill="1" applyBorder="1" applyAlignment="1">
      <alignment horizontal="right" vertical="center" wrapText="1"/>
    </xf>
    <xf numFmtId="3" fontId="2" fillId="6" borderId="25" xfId="0" applyNumberFormat="1" applyFont="1" applyFill="1" applyBorder="1" applyAlignment="1">
      <alignment horizontal="right" vertical="center" wrapText="1"/>
    </xf>
    <xf numFmtId="3" fontId="2" fillId="6" borderId="10" xfId="0" applyNumberFormat="1" applyFont="1" applyFill="1" applyBorder="1" applyAlignment="1">
      <alignment horizontal="right" vertical="center" wrapText="1"/>
    </xf>
    <xf numFmtId="3" fontId="1" fillId="6" borderId="27" xfId="0" applyNumberFormat="1" applyFont="1" applyFill="1" applyBorder="1" applyAlignment="1">
      <alignment horizontal="right" vertical="center" wrapText="1"/>
    </xf>
    <xf numFmtId="3" fontId="1" fillId="6" borderId="31" xfId="0" applyNumberFormat="1" applyFont="1" applyFill="1" applyBorder="1" applyAlignment="1">
      <alignment horizontal="right" vertical="center" wrapText="1"/>
    </xf>
    <xf numFmtId="3" fontId="1" fillId="6" borderId="32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wrapText="1"/>
    </xf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21" fillId="6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right" vertical="center" wrapText="1"/>
    </xf>
    <xf numFmtId="3" fontId="25" fillId="6" borderId="16" xfId="0" applyNumberFormat="1" applyFont="1" applyFill="1" applyBorder="1" applyAlignment="1">
      <alignment horizontal="right" vertical="center" wrapText="1"/>
    </xf>
    <xf numFmtId="3" fontId="21" fillId="6" borderId="16" xfId="0" applyNumberFormat="1" applyFont="1" applyFill="1" applyBorder="1" applyAlignment="1">
      <alignment horizontal="right" vertical="center" wrapText="1"/>
    </xf>
    <xf numFmtId="3" fontId="21" fillId="6" borderId="16" xfId="0" applyNumberFormat="1" applyFont="1" applyFill="1" applyBorder="1" applyAlignment="1">
      <alignment vertical="center"/>
    </xf>
    <xf numFmtId="3" fontId="9" fillId="6" borderId="17" xfId="0" applyNumberFormat="1" applyFont="1" applyFill="1" applyBorder="1" applyAlignment="1">
      <alignment horizontal="right" vertical="center" wrapText="1"/>
    </xf>
    <xf numFmtId="164" fontId="20" fillId="0" borderId="22" xfId="0" applyNumberFormat="1" applyFont="1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/>
    </xf>
    <xf numFmtId="3" fontId="9" fillId="0" borderId="23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horizontal="right" vertical="center" wrapText="1"/>
    </xf>
    <xf numFmtId="3" fontId="0" fillId="0" borderId="23" xfId="0" applyNumberFormat="1" applyFill="1" applyBorder="1"/>
    <xf numFmtId="3" fontId="8" fillId="0" borderId="22" xfId="0" applyNumberFormat="1" applyFont="1" applyFill="1" applyBorder="1" applyAlignment="1">
      <alignment horizontal="right" vertical="center" wrapText="1"/>
    </xf>
    <xf numFmtId="3" fontId="9" fillId="0" borderId="23" xfId="0" applyNumberFormat="1" applyFont="1" applyBorder="1" applyAlignment="1">
      <alignment vertical="center"/>
    </xf>
    <xf numFmtId="3" fontId="21" fillId="6" borderId="23" xfId="0" applyNumberFormat="1" applyFont="1" applyFill="1" applyBorder="1" applyAlignment="1">
      <alignment vertical="center"/>
    </xf>
    <xf numFmtId="4" fontId="9" fillId="6" borderId="22" xfId="0" applyNumberFormat="1" applyFont="1" applyFill="1" applyBorder="1" applyAlignment="1">
      <alignment horizontal="right" vertical="center" wrapText="1"/>
    </xf>
    <xf numFmtId="4" fontId="21" fillId="6" borderId="23" xfId="0" applyNumberFormat="1" applyFont="1" applyFill="1" applyBorder="1" applyAlignment="1">
      <alignment vertical="center"/>
    </xf>
    <xf numFmtId="4" fontId="9" fillId="0" borderId="22" xfId="0" applyNumberFormat="1" applyFont="1" applyFill="1" applyBorder="1" applyAlignment="1">
      <alignment horizontal="right" vertical="center" wrapText="1"/>
    </xf>
    <xf numFmtId="4" fontId="21" fillId="0" borderId="23" xfId="0" applyNumberFormat="1" applyFont="1" applyFill="1" applyBorder="1"/>
    <xf numFmtId="4" fontId="9" fillId="6" borderId="33" xfId="0" applyNumberFormat="1" applyFont="1" applyFill="1" applyBorder="1" applyAlignment="1">
      <alignment horizontal="right" vertical="center" wrapText="1"/>
    </xf>
    <xf numFmtId="4" fontId="21" fillId="6" borderId="34" xfId="0" applyNumberFormat="1" applyFont="1" applyFill="1" applyBorder="1" applyAlignment="1">
      <alignment horizontal="right" vertical="center" wrapText="1"/>
    </xf>
    <xf numFmtId="4" fontId="21" fillId="6" borderId="34" xfId="0" applyNumberFormat="1" applyFont="1" applyFill="1" applyBorder="1" applyAlignment="1">
      <alignment vertical="center"/>
    </xf>
    <xf numFmtId="4" fontId="21" fillId="6" borderId="21" xfId="0" applyNumberFormat="1" applyFont="1" applyFill="1" applyBorder="1" applyAlignment="1">
      <alignment vertical="center"/>
    </xf>
    <xf numFmtId="3" fontId="1" fillId="6" borderId="15" xfId="0" applyNumberFormat="1" applyFont="1" applyFill="1" applyBorder="1" applyAlignment="1">
      <alignment horizontal="right" vertical="center" wrapText="1"/>
    </xf>
    <xf numFmtId="3" fontId="1" fillId="6" borderId="16" xfId="0" applyNumberFormat="1" applyFont="1" applyFill="1" applyBorder="1" applyAlignment="1">
      <alignment horizontal="right" vertical="center" wrapText="1"/>
    </xf>
    <xf numFmtId="3" fontId="1" fillId="6" borderId="17" xfId="0" applyNumberFormat="1" applyFont="1" applyFill="1" applyBorder="1" applyAlignment="1">
      <alignment horizontal="right" vertical="center" wrapText="1"/>
    </xf>
    <xf numFmtId="164" fontId="2" fillId="0" borderId="23" xfId="0" applyNumberFormat="1" applyFont="1" applyFill="1" applyBorder="1" applyAlignment="1">
      <alignment horizontal="right" vertical="center" wrapText="1"/>
    </xf>
    <xf numFmtId="3" fontId="44" fillId="7" borderId="22" xfId="0" applyNumberFormat="1" applyFont="1" applyFill="1" applyBorder="1" applyAlignment="1">
      <alignment horizontal="right" vertical="center" wrapText="1"/>
    </xf>
    <xf numFmtId="3" fontId="42" fillId="6" borderId="23" xfId="0" applyNumberFormat="1" applyFont="1" applyFill="1" applyBorder="1" applyAlignment="1">
      <alignment horizontal="right" vertical="center" wrapText="1"/>
    </xf>
    <xf numFmtId="3" fontId="2" fillId="7" borderId="22" xfId="0" applyNumberFormat="1" applyFont="1" applyFill="1" applyBorder="1" applyAlignment="1">
      <alignment horizontal="right" vertical="center" wrapText="1"/>
    </xf>
    <xf numFmtId="3" fontId="8" fillId="6" borderId="33" xfId="0" applyNumberFormat="1" applyFont="1" applyFill="1" applyBorder="1" applyAlignment="1">
      <alignment horizontal="right" vertical="center" wrapText="1"/>
    </xf>
    <xf numFmtId="3" fontId="8" fillId="6" borderId="21" xfId="0" applyNumberFormat="1" applyFont="1" applyFill="1" applyBorder="1" applyAlignment="1">
      <alignment horizontal="right" vertical="center" wrapText="1"/>
    </xf>
    <xf numFmtId="0" fontId="22" fillId="4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41" fillId="5" borderId="15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 wrapText="1"/>
    </xf>
    <xf numFmtId="0" fontId="41" fillId="5" borderId="18" xfId="0" applyFont="1" applyFill="1" applyBorder="1" applyAlignment="1">
      <alignment horizontal="center" vertical="center"/>
    </xf>
    <xf numFmtId="0" fontId="41" fillId="5" borderId="20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35" fillId="5" borderId="4" xfId="0" applyFont="1" applyFill="1" applyBorder="1"/>
    <xf numFmtId="0" fontId="33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right" vertical="center" wrapText="1"/>
    </xf>
    <xf numFmtId="0" fontId="9" fillId="6" borderId="8" xfId="0" applyFont="1" applyFill="1" applyBorder="1"/>
    <xf numFmtId="4" fontId="9" fillId="6" borderId="0" xfId="0" applyNumberFormat="1" applyFont="1" applyFill="1" applyBorder="1"/>
    <xf numFmtId="0" fontId="9" fillId="6" borderId="13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94831089662182E-2"/>
          <c:y val="4.0336223254656467E-2"/>
          <c:w val="0.88870248073829505"/>
          <c:h val="0.86500589207260059"/>
        </c:manualLayout>
      </c:layout>
      <c:lineChart>
        <c:grouping val="standard"/>
        <c:varyColors val="0"/>
        <c:ser>
          <c:idx val="2"/>
          <c:order val="0"/>
          <c:tx>
            <c:strRef>
              <c:f>zamówienia!$B$10</c:f>
              <c:strCache>
                <c:ptCount val="1"/>
                <c:pt idx="0">
                  <c:v>FY 2022/23</c:v>
                </c:pt>
              </c:strCache>
            </c:strRef>
          </c:tx>
          <c:dLbls>
            <c:dLbl>
              <c:idx val="0"/>
              <c:layout>
                <c:manualLayout>
                  <c:x val="-4.3484569469138937E-2"/>
                  <c:y val="-6.1075358144692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DD-4348-9D91-BA854EFE0532}"/>
                </c:ext>
              </c:extLst>
            </c:dLbl>
            <c:dLbl>
              <c:idx val="1"/>
              <c:layout>
                <c:manualLayout>
                  <c:x val="-2.4623235768087292E-2"/>
                  <c:y val="2.926083669167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1-B644-A248-62A3F01FBA57}"/>
                </c:ext>
              </c:extLst>
            </c:dLbl>
            <c:dLbl>
              <c:idx val="2"/>
              <c:layout>
                <c:manualLayout>
                  <c:x val="-2.9989961687070486E-2"/>
                  <c:y val="2.334805166749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1-B644-A248-62A3F01FBA5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zamówienia!$C$9:$N$9</c:f>
              <c:strCache>
                <c:ptCount val="12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</c:strCache>
            </c:strRef>
          </c:cat>
          <c:val>
            <c:numRef>
              <c:f>zamówienia!$C$10:$N$10</c:f>
              <c:numCache>
                <c:formatCode>General</c:formatCode>
                <c:ptCount val="12"/>
                <c:pt idx="0">
                  <c:v>49.8</c:v>
                </c:pt>
                <c:pt idx="1">
                  <c:v>47.3</c:v>
                </c:pt>
                <c:pt idx="2">
                  <c:v>48.9</c:v>
                </c:pt>
                <c:pt idx="3" formatCode="0.0">
                  <c:v>48.3</c:v>
                </c:pt>
                <c:pt idx="4">
                  <c:v>48.3</c:v>
                </c:pt>
                <c:pt idx="5">
                  <c:v>59.6</c:v>
                </c:pt>
                <c:pt idx="6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5B-49E5-8D7D-71401A89B154}"/>
            </c:ext>
          </c:extLst>
        </c:ser>
        <c:ser>
          <c:idx val="0"/>
          <c:order val="1"/>
          <c:tx>
            <c:strRef>
              <c:f>zamówienia!$B$11</c:f>
              <c:strCache>
                <c:ptCount val="1"/>
                <c:pt idx="0">
                  <c:v>FY 2021/22</c:v>
                </c:pt>
              </c:strCache>
            </c:strRef>
          </c:tx>
          <c:dPt>
            <c:idx val="1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63-4C7D-BB90-6356B186E167}"/>
              </c:ext>
            </c:extLst>
          </c:dPt>
          <c:dLbls>
            <c:dLbl>
              <c:idx val="4"/>
              <c:layout>
                <c:manualLayout>
                  <c:x val="-2.4692221437872596E-2"/>
                  <c:y val="-3.8988531990494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8-4AC4-93C5-56EAF2EBBEBA}"/>
                </c:ext>
              </c:extLst>
            </c:dLbl>
            <c:dLbl>
              <c:idx val="5"/>
              <c:layout>
                <c:manualLayout>
                  <c:x val="-2.8728569807687489E-2"/>
                  <c:y val="-3.8267125660183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D8-4AC4-93C5-56EAF2EBBEBA}"/>
                </c:ext>
              </c:extLst>
            </c:dLbl>
            <c:dLbl>
              <c:idx val="6"/>
              <c:layout>
                <c:manualLayout>
                  <c:x val="-2.5964917247833078E-2"/>
                  <c:y val="-5.351815364674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1-B644-A248-62A3F01FBA57}"/>
                </c:ext>
              </c:extLst>
            </c:dLbl>
            <c:dLbl>
              <c:idx val="8"/>
              <c:layout>
                <c:manualLayout>
                  <c:x val="-2.4623235768087292E-2"/>
                  <c:y val="-4.3053688088019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21-7341-94D4-21168DC1EBB9}"/>
                </c:ext>
              </c:extLst>
            </c:dLbl>
            <c:dLbl>
              <c:idx val="9"/>
              <c:layout>
                <c:manualLayout>
                  <c:x val="-1.3889783930121002E-2"/>
                  <c:y val="-4.1692583598399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31-B644-A248-62A3F01FBA5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zamówienia!$C$9:$N$9</c:f>
              <c:strCache>
                <c:ptCount val="12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</c:strCache>
            </c:strRef>
          </c:cat>
          <c:val>
            <c:numRef>
              <c:f>zamówienia!$C$11:$N$11</c:f>
              <c:numCache>
                <c:formatCode>General</c:formatCode>
                <c:ptCount val="12"/>
                <c:pt idx="0">
                  <c:v>41.4</c:v>
                </c:pt>
                <c:pt idx="1">
                  <c:v>50.4</c:v>
                </c:pt>
                <c:pt idx="2">
                  <c:v>52.4</c:v>
                </c:pt>
                <c:pt idx="3" formatCode="0.0">
                  <c:v>42</c:v>
                </c:pt>
                <c:pt idx="4">
                  <c:v>37.4</c:v>
                </c:pt>
                <c:pt idx="5">
                  <c:v>39.9</c:v>
                </c:pt>
                <c:pt idx="6">
                  <c:v>41.6</c:v>
                </c:pt>
                <c:pt idx="7">
                  <c:v>46.2</c:v>
                </c:pt>
                <c:pt idx="8">
                  <c:v>46.8</c:v>
                </c:pt>
                <c:pt idx="9">
                  <c:v>31.4</c:v>
                </c:pt>
                <c:pt idx="10">
                  <c:v>35.200000000000003</c:v>
                </c:pt>
                <c:pt idx="11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63-4C7D-BB90-6356B186E167}"/>
            </c:ext>
          </c:extLst>
        </c:ser>
        <c:ser>
          <c:idx val="1"/>
          <c:order val="2"/>
          <c:tx>
            <c:strRef>
              <c:f>zamówienia!$B$12</c:f>
              <c:strCache>
                <c:ptCount val="1"/>
                <c:pt idx="0">
                  <c:v>FY 2020/21</c:v>
                </c:pt>
              </c:strCache>
            </c:strRef>
          </c:tx>
          <c:dLbls>
            <c:dLbl>
              <c:idx val="3"/>
              <c:layout>
                <c:manualLayout>
                  <c:x val="-2.7306598727578867E-2"/>
                  <c:y val="1.74352666433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1-B644-A248-62A3F01FBA57}"/>
                </c:ext>
              </c:extLst>
            </c:dLbl>
            <c:dLbl>
              <c:idx val="4"/>
              <c:layout>
                <c:manualLayout>
                  <c:x val="-5.8396950516463346E-3"/>
                  <c:y val="2.926083669167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1-B644-A248-62A3F01FBA57}"/>
                </c:ext>
              </c:extLst>
            </c:dLbl>
            <c:dLbl>
              <c:idx val="5"/>
              <c:layout>
                <c:manualLayout>
                  <c:x val="-2.4623235768087393E-2"/>
                  <c:y val="2.03916591554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1-B644-A248-62A3F01FBA57}"/>
                </c:ext>
              </c:extLst>
            </c:dLbl>
            <c:dLbl>
              <c:idx val="8"/>
              <c:layout>
                <c:manualLayout>
                  <c:x val="1.2943845664794722E-2"/>
                  <c:y val="1.743526664332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1-B644-A248-62A3F01FBA57}"/>
                </c:ext>
              </c:extLst>
            </c:dLbl>
            <c:dLbl>
              <c:idx val="9"/>
              <c:layout>
                <c:manualLayout>
                  <c:x val="-2.3281554288341506E-2"/>
                  <c:y val="2.630444417958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31-B644-A248-62A3F01FBA5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zamówienia!$C$9:$N$9</c:f>
              <c:strCache>
                <c:ptCount val="12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</c:strCache>
            </c:strRef>
          </c:cat>
          <c:val>
            <c:numRef>
              <c:f>zamówienia!$C$12:$N$12</c:f>
              <c:numCache>
                <c:formatCode>General</c:formatCode>
                <c:ptCount val="12"/>
                <c:pt idx="0">
                  <c:v>27.7</c:v>
                </c:pt>
                <c:pt idx="1">
                  <c:v>31.9</c:v>
                </c:pt>
                <c:pt idx="2">
                  <c:v>30.4</c:v>
                </c:pt>
                <c:pt idx="3">
                  <c:v>36.799999999999997</c:v>
                </c:pt>
                <c:pt idx="4">
                  <c:v>35.700000000000003</c:v>
                </c:pt>
                <c:pt idx="5">
                  <c:v>38.299999999999997</c:v>
                </c:pt>
                <c:pt idx="6">
                  <c:v>31.9</c:v>
                </c:pt>
                <c:pt idx="7">
                  <c:v>29.3</c:v>
                </c:pt>
                <c:pt idx="8">
                  <c:v>47.6</c:v>
                </c:pt>
                <c:pt idx="9">
                  <c:v>26.5</c:v>
                </c:pt>
                <c:pt idx="10">
                  <c:v>31.8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63-4C7D-BB90-6356B186E167}"/>
            </c:ext>
          </c:extLst>
        </c:ser>
        <c:ser>
          <c:idx val="3"/>
          <c:order val="3"/>
          <c:tx>
            <c:strRef>
              <c:f>zamówienia!$B$13</c:f>
              <c:strCache>
                <c:ptCount val="1"/>
                <c:pt idx="0">
                  <c:v>FY 2019/20</c:v>
                </c:pt>
              </c:strCache>
            </c:strRef>
          </c:tx>
          <c:dLbls>
            <c:dLbl>
              <c:idx val="1"/>
              <c:layout>
                <c:manualLayout>
                  <c:x val="-1.3889783930121002E-2"/>
                  <c:y val="4.9955584276275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31-B644-A248-62A3F01FBA57}"/>
                </c:ext>
              </c:extLst>
            </c:dLbl>
            <c:dLbl>
              <c:idx val="3"/>
              <c:layout>
                <c:manualLayout>
                  <c:x val="-1.1206420970629479E-2"/>
                  <c:y val="-6.21587345336447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1-B644-A248-62A3F01FBA57}"/>
                </c:ext>
              </c:extLst>
            </c:dLbl>
            <c:dLbl>
              <c:idx val="5"/>
              <c:layout>
                <c:manualLayout>
                  <c:x val="-7.1813765313920716E-3"/>
                  <c:y val="4.4042799252102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1-B644-A248-62A3F01FBA57}"/>
                </c:ext>
              </c:extLst>
            </c:dLbl>
            <c:dLbl>
              <c:idx val="6"/>
              <c:layout>
                <c:manualLayout>
                  <c:x val="-4.4980135719004995E-3"/>
                  <c:y val="3.5173621715843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1-B644-A248-62A3F01FBA57}"/>
                </c:ext>
              </c:extLst>
            </c:dLbl>
            <c:dLbl>
              <c:idx val="9"/>
              <c:layout>
                <c:manualLayout>
                  <c:x val="-5.6823591281986163E-2"/>
                  <c:y val="-1.8041443501709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1-B644-A248-62A3F01FBA5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zamówienia!$C$9:$N$9</c:f>
              <c:strCache>
                <c:ptCount val="12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</c:strCache>
            </c:strRef>
          </c:cat>
          <c:val>
            <c:numRef>
              <c:f>zamówienia!$C$13:$N$13</c:f>
              <c:numCache>
                <c:formatCode>General</c:formatCode>
                <c:ptCount val="12"/>
                <c:pt idx="0">
                  <c:v>43.3</c:v>
                </c:pt>
                <c:pt idx="1">
                  <c:v>30.9</c:v>
                </c:pt>
                <c:pt idx="2">
                  <c:v>35.9</c:v>
                </c:pt>
                <c:pt idx="3">
                  <c:v>38.799999999999997</c:v>
                </c:pt>
                <c:pt idx="4">
                  <c:v>26.5</c:v>
                </c:pt>
                <c:pt idx="5">
                  <c:v>34.700000000000003</c:v>
                </c:pt>
                <c:pt idx="6" formatCode="0.0">
                  <c:v>42.6</c:v>
                </c:pt>
                <c:pt idx="7">
                  <c:v>26.9</c:v>
                </c:pt>
                <c:pt idx="8">
                  <c:v>24.9</c:v>
                </c:pt>
                <c:pt idx="9">
                  <c:v>30.6</c:v>
                </c:pt>
                <c:pt idx="10" formatCode="0.0">
                  <c:v>28</c:v>
                </c:pt>
                <c:pt idx="11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1-B644-A248-62A3F01FBA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897512"/>
        <c:axId val="183899864"/>
      </c:lineChart>
      <c:catAx>
        <c:axId val="183897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899864"/>
        <c:crosses val="autoZero"/>
        <c:auto val="1"/>
        <c:lblAlgn val="ctr"/>
        <c:lblOffset val="100"/>
        <c:noMultiLvlLbl val="0"/>
      </c:catAx>
      <c:valAx>
        <c:axId val="183899864"/>
        <c:scaling>
          <c:orientation val="minMax"/>
          <c:max val="80"/>
        </c:scaling>
        <c:delete val="0"/>
        <c:axPos val="l"/>
        <c:numFmt formatCode="General" sourceLinked="1"/>
        <c:majorTickMark val="out"/>
        <c:minorTickMark val="none"/>
        <c:tickLblPos val="nextTo"/>
        <c:crossAx val="18389751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8033236513935431"/>
          <c:y val="0.66593230187048857"/>
          <c:w val="0.10198131491968823"/>
          <c:h val="0.21384075892225293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918291</xdr:colOff>
      <xdr:row>1</xdr:row>
      <xdr:rowOff>173935</xdr:rowOff>
    </xdr:from>
    <xdr:to>
      <xdr:col>0</xdr:col>
      <xdr:colOff>4042742</xdr:colOff>
      <xdr:row>1</xdr:row>
      <xdr:rowOff>1051892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91" y="356152"/>
          <a:ext cx="3124451" cy="8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0</xdr:row>
      <xdr:rowOff>15875</xdr:rowOff>
    </xdr:from>
    <xdr:to>
      <xdr:col>1</xdr:col>
      <xdr:colOff>2389186</xdr:colOff>
      <xdr:row>1</xdr:row>
      <xdr:rowOff>1588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5875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2381249</xdr:colOff>
      <xdr:row>1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0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2400299</xdr:colOff>
      <xdr:row>1</xdr:row>
      <xdr:rowOff>530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19050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0</xdr:colOff>
      <xdr:row>1</xdr:row>
      <xdr:rowOff>142875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29622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</xdr:colOff>
      <xdr:row>16</xdr:row>
      <xdr:rowOff>66674</xdr:rowOff>
    </xdr:from>
    <xdr:to>
      <xdr:col>13</xdr:col>
      <xdr:colOff>647700</xdr:colOff>
      <xdr:row>40</xdr:row>
      <xdr:rowOff>95250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7"/>
  <sheetViews>
    <sheetView zoomScale="115" zoomScaleNormal="115" workbookViewId="0">
      <selection activeCell="A16" sqref="A16"/>
    </sheetView>
  </sheetViews>
  <sheetFormatPr baseColWidth="10" defaultColWidth="9" defaultRowHeight="14"/>
  <cols>
    <col min="1" max="1" width="71.83203125" style="10" customWidth="1"/>
    <col min="2" max="16384" width="9" style="10"/>
  </cols>
  <sheetData>
    <row r="1" spans="1:1">
      <c r="A1" s="7"/>
    </row>
    <row r="2" spans="1:1" ht="86.25" customHeight="1">
      <c r="A2" s="23"/>
    </row>
    <row r="3" spans="1:1" ht="23">
      <c r="A3" s="8"/>
    </row>
    <row r="4" spans="1:1" ht="32">
      <c r="A4" s="9" t="s">
        <v>194</v>
      </c>
    </row>
    <row r="5" spans="1:1">
      <c r="A5" s="7"/>
    </row>
    <row r="6" spans="1:1">
      <c r="A6" s="7"/>
    </row>
    <row r="7" spans="1:1">
      <c r="A7" s="7"/>
    </row>
    <row r="8" spans="1:1">
      <c r="A8" s="7"/>
    </row>
    <row r="9" spans="1:1" ht="15">
      <c r="A9" s="24" t="s">
        <v>12</v>
      </c>
    </row>
    <row r="10" spans="1:1">
      <c r="A10" s="7"/>
    </row>
    <row r="11" spans="1:1">
      <c r="A11" s="7"/>
    </row>
    <row r="12" spans="1:1">
      <c r="A12" s="7"/>
    </row>
    <row r="16" spans="1:1" ht="13.5" customHeight="1"/>
    <row r="17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5"/>
  <sheetViews>
    <sheetView zoomScaleNormal="120" workbookViewId="0">
      <pane xSplit="2" ySplit="6" topLeftCell="C62" activePane="bottomRight" state="frozen"/>
      <selection pane="topRight" activeCell="C1" sqref="C1"/>
      <selection pane="bottomLeft" activeCell="A5" sqref="A5"/>
      <selection pane="bottomRight" activeCell="Q59" sqref="Q59:AA59"/>
    </sheetView>
  </sheetViews>
  <sheetFormatPr baseColWidth="10" defaultColWidth="9" defaultRowHeight="14"/>
  <cols>
    <col min="1" max="1" width="3.1640625" style="10" customWidth="1"/>
    <col min="2" max="2" width="31.5" style="10" customWidth="1"/>
    <col min="3" max="3" width="9.1640625" style="10" bestFit="1" customWidth="1"/>
    <col min="4" max="5" width="9.33203125" style="10" bestFit="1" customWidth="1"/>
    <col min="6" max="7" width="11.33203125" style="10" customWidth="1"/>
    <col min="8" max="9" width="12.6640625" style="10" customWidth="1"/>
    <col min="10" max="10" width="13.33203125" style="10" customWidth="1"/>
    <col min="11" max="11" width="13.6640625" style="10" customWidth="1"/>
    <col min="12" max="12" width="12.33203125" style="10" customWidth="1"/>
    <col min="13" max="13" width="11.83203125" style="10" customWidth="1"/>
    <col min="14" max="14" width="13.6640625" style="10" customWidth="1"/>
    <col min="15" max="15" width="12.1640625" style="10" customWidth="1"/>
    <col min="16" max="16" width="11.83203125" style="10" customWidth="1"/>
    <col min="17" max="18" width="12.6640625" style="10" customWidth="1"/>
    <col min="19" max="23" width="13.83203125" style="10" customWidth="1"/>
    <col min="24" max="24" width="15.33203125" style="10" customWidth="1"/>
    <col min="25" max="16384" width="9" style="10"/>
  </cols>
  <sheetData>
    <row r="1" spans="1:24" ht="58.5" customHeight="1">
      <c r="A1" s="7"/>
      <c r="B1" s="17"/>
      <c r="C1" s="287" t="s">
        <v>1</v>
      </c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4">
      <c r="A2" s="7"/>
      <c r="B2" s="11"/>
      <c r="C2" s="30"/>
      <c r="D2" s="39"/>
      <c r="E2" s="39"/>
      <c r="F2" s="39"/>
      <c r="G2" s="39"/>
      <c r="H2" s="39"/>
      <c r="I2" s="3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7"/>
      <c r="B3" s="11"/>
      <c r="C3" s="7"/>
      <c r="D3" s="7"/>
      <c r="E3" s="56"/>
      <c r="F3" s="58" t="s">
        <v>12</v>
      </c>
      <c r="G3" s="58"/>
      <c r="H3" s="57"/>
      <c r="I3" s="57"/>
      <c r="J3" s="57"/>
      <c r="K3" s="57"/>
      <c r="L3" s="57"/>
      <c r="M3" s="5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" thickBot="1">
      <c r="A4" s="7"/>
      <c r="B4" s="29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25" customHeight="1" thickBot="1">
      <c r="A5" s="7"/>
      <c r="B5" s="288" t="s">
        <v>6</v>
      </c>
      <c r="C5" s="290" t="s">
        <v>5</v>
      </c>
      <c r="D5" s="291"/>
      <c r="E5" s="291"/>
      <c r="F5" s="291"/>
      <c r="G5" s="291"/>
      <c r="H5" s="291"/>
      <c r="I5" s="291"/>
      <c r="J5" s="292" t="s">
        <v>91</v>
      </c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4"/>
    </row>
    <row r="6" spans="1:24" ht="25" customHeight="1" thickBot="1">
      <c r="A6" s="7"/>
      <c r="B6" s="289"/>
      <c r="C6" s="108" t="s">
        <v>9</v>
      </c>
      <c r="D6" s="109" t="s">
        <v>8</v>
      </c>
      <c r="E6" s="109" t="s">
        <v>7</v>
      </c>
      <c r="F6" s="109" t="s">
        <v>126</v>
      </c>
      <c r="G6" s="136" t="s">
        <v>125</v>
      </c>
      <c r="H6" s="216" t="s">
        <v>157</v>
      </c>
      <c r="I6" s="156" t="s">
        <v>178</v>
      </c>
      <c r="J6" s="191" t="s">
        <v>162</v>
      </c>
      <c r="K6" s="215" t="s">
        <v>132</v>
      </c>
      <c r="L6" s="215" t="s">
        <v>131</v>
      </c>
      <c r="M6" s="215" t="s">
        <v>130</v>
      </c>
      <c r="N6" s="215" t="s">
        <v>129</v>
      </c>
      <c r="O6" s="215" t="s">
        <v>128</v>
      </c>
      <c r="P6" s="215" t="s">
        <v>127</v>
      </c>
      <c r="Q6" s="215" t="s">
        <v>143</v>
      </c>
      <c r="R6" s="215" t="s">
        <v>158</v>
      </c>
      <c r="S6" s="215" t="s">
        <v>170</v>
      </c>
      <c r="T6" s="215" t="s">
        <v>172</v>
      </c>
      <c r="U6" s="215" t="s">
        <v>176</v>
      </c>
      <c r="V6" s="215" t="s">
        <v>183</v>
      </c>
      <c r="W6" s="215" t="s">
        <v>191</v>
      </c>
      <c r="X6" s="193" t="s">
        <v>196</v>
      </c>
    </row>
    <row r="7" spans="1:24" ht="20" customHeight="1">
      <c r="A7" s="12"/>
      <c r="B7" s="53" t="s">
        <v>53</v>
      </c>
      <c r="C7" s="36"/>
      <c r="D7" s="21"/>
      <c r="E7" s="21"/>
      <c r="F7" s="138">
        <v>43556</v>
      </c>
      <c r="G7" s="138">
        <v>43921</v>
      </c>
      <c r="H7" s="169">
        <v>44286</v>
      </c>
      <c r="I7" s="169">
        <v>44651</v>
      </c>
      <c r="J7" s="194"/>
      <c r="K7" s="21"/>
      <c r="L7" s="195"/>
      <c r="M7" s="118"/>
      <c r="N7" s="21"/>
      <c r="O7" s="21"/>
      <c r="P7" s="21"/>
      <c r="Q7" s="21"/>
      <c r="R7" s="21"/>
      <c r="S7" s="21"/>
      <c r="T7" s="21"/>
      <c r="U7" s="21"/>
      <c r="V7" s="21"/>
      <c r="W7" s="21"/>
      <c r="X7" s="196"/>
    </row>
    <row r="8" spans="1:24" ht="20" customHeight="1">
      <c r="A8" s="13"/>
      <c r="B8" s="51" t="s">
        <v>38</v>
      </c>
      <c r="C8" s="31"/>
      <c r="D8" s="20"/>
      <c r="E8" s="65"/>
      <c r="F8" s="86"/>
      <c r="G8" s="86"/>
      <c r="H8" s="86"/>
      <c r="I8" s="86"/>
      <c r="J8" s="164"/>
      <c r="K8" s="65"/>
      <c r="L8" s="87"/>
      <c r="M8" s="118"/>
      <c r="N8" s="65"/>
      <c r="O8" s="65"/>
      <c r="P8" s="65"/>
      <c r="Q8" s="65"/>
      <c r="R8" s="65"/>
      <c r="S8" s="65"/>
      <c r="T8" s="65"/>
      <c r="U8" s="65"/>
      <c r="V8" s="65"/>
      <c r="W8" s="65"/>
      <c r="X8" s="170"/>
    </row>
    <row r="9" spans="1:24" ht="20" customHeight="1">
      <c r="A9" s="13"/>
      <c r="B9" s="52" t="s">
        <v>39</v>
      </c>
      <c r="C9" s="94">
        <v>47371</v>
      </c>
      <c r="D9" s="78">
        <v>47371</v>
      </c>
      <c r="E9" s="78">
        <v>54523</v>
      </c>
      <c r="F9" s="78">
        <v>48673</v>
      </c>
      <c r="G9" s="78">
        <v>50660</v>
      </c>
      <c r="H9" s="78">
        <v>51765</v>
      </c>
      <c r="I9" s="78">
        <v>51566</v>
      </c>
      <c r="J9" s="162">
        <v>48673</v>
      </c>
      <c r="K9" s="89">
        <f>55554-6881-575</f>
        <v>48098</v>
      </c>
      <c r="L9" s="89">
        <f>55554-6881+500-1111</f>
        <v>48062</v>
      </c>
      <c r="M9" s="89">
        <f>55554-6881-119-278</f>
        <v>48276</v>
      </c>
      <c r="N9" s="78">
        <v>50660</v>
      </c>
      <c r="O9" s="89">
        <f>56889-6229</f>
        <v>50660</v>
      </c>
      <c r="P9" s="125">
        <v>50268</v>
      </c>
      <c r="Q9" s="125">
        <v>51234</v>
      </c>
      <c r="R9" s="78">
        <v>51765</v>
      </c>
      <c r="S9" s="78">
        <v>50455</v>
      </c>
      <c r="T9" s="78">
        <v>51526</v>
      </c>
      <c r="U9" s="78">
        <v>50991</v>
      </c>
      <c r="V9" s="78">
        <v>51566</v>
      </c>
      <c r="W9" s="78">
        <v>51394</v>
      </c>
      <c r="X9" s="163">
        <v>53065</v>
      </c>
    </row>
    <row r="10" spans="1:24" ht="20" customHeight="1">
      <c r="A10" s="13"/>
      <c r="B10" s="52" t="s">
        <v>40</v>
      </c>
      <c r="C10" s="94">
        <v>22228</v>
      </c>
      <c r="D10" s="78">
        <v>30147</v>
      </c>
      <c r="E10" s="78">
        <v>37648</v>
      </c>
      <c r="F10" s="78">
        <v>25635</v>
      </c>
      <c r="G10" s="78">
        <v>25313</v>
      </c>
      <c r="H10" s="78">
        <v>24783</v>
      </c>
      <c r="I10" s="78">
        <v>27280</v>
      </c>
      <c r="J10" s="162">
        <v>25635</v>
      </c>
      <c r="K10" s="89">
        <f>41789-16695</f>
        <v>25094</v>
      </c>
      <c r="L10" s="89">
        <f>42331-16695</f>
        <v>25636</v>
      </c>
      <c r="M10" s="89">
        <f>42737-16695</f>
        <v>26042</v>
      </c>
      <c r="N10" s="78">
        <v>25313</v>
      </c>
      <c r="O10" s="89">
        <f>43316-19025</f>
        <v>24291</v>
      </c>
      <c r="P10" s="125">
        <v>24555</v>
      </c>
      <c r="Q10" s="125">
        <v>24490</v>
      </c>
      <c r="R10" s="78">
        <v>24783</v>
      </c>
      <c r="S10" s="78">
        <v>24398</v>
      </c>
      <c r="T10" s="78">
        <v>25199</v>
      </c>
      <c r="U10" s="78">
        <v>25481</v>
      </c>
      <c r="V10" s="78">
        <v>27280</v>
      </c>
      <c r="W10" s="78">
        <v>29133</v>
      </c>
      <c r="X10" s="163">
        <v>26916</v>
      </c>
    </row>
    <row r="11" spans="1:24" ht="20" customHeight="1">
      <c r="A11" s="12"/>
      <c r="B11" s="52" t="s">
        <v>41</v>
      </c>
      <c r="C11" s="94">
        <v>48347</v>
      </c>
      <c r="D11" s="78">
        <v>65458</v>
      </c>
      <c r="E11" s="78">
        <v>65238</v>
      </c>
      <c r="F11" s="78">
        <v>29130</v>
      </c>
      <c r="G11" s="78">
        <v>36753</v>
      </c>
      <c r="H11" s="78">
        <v>48651</v>
      </c>
      <c r="I11" s="78">
        <v>57857</v>
      </c>
      <c r="J11" s="162">
        <v>29130</v>
      </c>
      <c r="K11" s="89">
        <f>75360+1694-35062+300</f>
        <v>42292</v>
      </c>
      <c r="L11" s="89">
        <f>66162+1857-22333+650-5000</f>
        <v>41336</v>
      </c>
      <c r="M11" s="125">
        <f>65252+2750-22549+1103-5000</f>
        <v>41556</v>
      </c>
      <c r="N11" s="78">
        <v>36753</v>
      </c>
      <c r="O11" s="89">
        <f>64696-31722+4034</f>
        <v>37008</v>
      </c>
      <c r="P11" s="125">
        <v>41934</v>
      </c>
      <c r="Q11" s="125">
        <v>44355</v>
      </c>
      <c r="R11" s="78">
        <v>48651</v>
      </c>
      <c r="S11" s="78">
        <v>51304</v>
      </c>
      <c r="T11" s="78">
        <v>54848</v>
      </c>
      <c r="U11" s="78">
        <v>58568</v>
      </c>
      <c r="V11" s="78">
        <v>57857</v>
      </c>
      <c r="W11" s="78">
        <v>60523</v>
      </c>
      <c r="X11" s="163">
        <v>60398</v>
      </c>
    </row>
    <row r="12" spans="1:24" ht="20" customHeight="1">
      <c r="A12" s="12"/>
      <c r="B12" s="104" t="s">
        <v>105</v>
      </c>
      <c r="C12" s="103">
        <v>0</v>
      </c>
      <c r="D12" s="78">
        <v>0</v>
      </c>
      <c r="E12" s="78">
        <v>0</v>
      </c>
      <c r="F12" s="78">
        <v>35062</v>
      </c>
      <c r="G12" s="78">
        <v>41792</v>
      </c>
      <c r="H12" s="78">
        <v>49446</v>
      </c>
      <c r="I12" s="78">
        <v>42678</v>
      </c>
      <c r="J12" s="162">
        <v>35062</v>
      </c>
      <c r="K12" s="89">
        <f>35062-300</f>
        <v>34762</v>
      </c>
      <c r="L12" s="89">
        <f>12729+22333-650+5000</f>
        <v>39412</v>
      </c>
      <c r="M12" s="89">
        <f>12513+22549-1103+5000</f>
        <v>38959</v>
      </c>
      <c r="N12" s="78">
        <v>41792</v>
      </c>
      <c r="O12" s="89">
        <f>10254+31722</f>
        <v>41976</v>
      </c>
      <c r="P12" s="89">
        <v>45908</v>
      </c>
      <c r="Q12" s="89">
        <v>46711</v>
      </c>
      <c r="R12" s="78">
        <v>49446</v>
      </c>
      <c r="S12" s="78">
        <v>48391</v>
      </c>
      <c r="T12" s="78">
        <v>44065</v>
      </c>
      <c r="U12" s="78">
        <v>42565</v>
      </c>
      <c r="V12" s="78">
        <v>42678</v>
      </c>
      <c r="W12" s="78">
        <v>41366</v>
      </c>
      <c r="X12" s="163">
        <v>42522</v>
      </c>
    </row>
    <row r="13" spans="1:24" ht="21.75" customHeight="1">
      <c r="A13" s="13"/>
      <c r="B13" s="52" t="s">
        <v>42</v>
      </c>
      <c r="C13" s="94">
        <v>6935</v>
      </c>
      <c r="D13" s="78">
        <v>4107</v>
      </c>
      <c r="E13" s="78">
        <v>4447</v>
      </c>
      <c r="F13" s="78">
        <v>4040</v>
      </c>
      <c r="G13" s="78">
        <v>3876</v>
      </c>
      <c r="H13" s="78">
        <v>5284</v>
      </c>
      <c r="I13" s="78">
        <v>5090</v>
      </c>
      <c r="J13" s="162">
        <v>4040</v>
      </c>
      <c r="K13" s="89">
        <f>3694+229</f>
        <v>3923</v>
      </c>
      <c r="L13" s="89">
        <f>3570+229</f>
        <v>3799</v>
      </c>
      <c r="M13" s="125">
        <f>3052+229</f>
        <v>3281</v>
      </c>
      <c r="N13" s="78">
        <v>3876</v>
      </c>
      <c r="O13" s="89">
        <f>2866+195</f>
        <v>3061</v>
      </c>
      <c r="P13" s="125">
        <f>2520+195</f>
        <v>2715</v>
      </c>
      <c r="Q13" s="125">
        <f>2591+195</f>
        <v>2786</v>
      </c>
      <c r="R13" s="78">
        <v>5284</v>
      </c>
      <c r="S13" s="78">
        <v>5288</v>
      </c>
      <c r="T13" s="78">
        <v>5003</v>
      </c>
      <c r="U13" s="78">
        <v>4995</v>
      </c>
      <c r="V13" s="78">
        <v>5090</v>
      </c>
      <c r="W13" s="78">
        <v>5164</v>
      </c>
      <c r="X13" s="163">
        <v>4165</v>
      </c>
    </row>
    <row r="14" spans="1:24" ht="21.75" customHeight="1">
      <c r="A14" s="13"/>
      <c r="B14" s="52" t="s">
        <v>180</v>
      </c>
      <c r="C14" s="94">
        <v>0</v>
      </c>
      <c r="D14" s="78">
        <v>0</v>
      </c>
      <c r="E14" s="78">
        <v>34</v>
      </c>
      <c r="F14" s="78">
        <v>46</v>
      </c>
      <c r="G14" s="78">
        <v>49</v>
      </c>
      <c r="H14" s="78">
        <v>141</v>
      </c>
      <c r="I14" s="89">
        <v>2243</v>
      </c>
      <c r="J14" s="162">
        <v>46</v>
      </c>
      <c r="K14" s="89">
        <f>46</f>
        <v>46</v>
      </c>
      <c r="L14" s="89">
        <v>57</v>
      </c>
      <c r="M14" s="125">
        <v>57</v>
      </c>
      <c r="N14" s="78">
        <v>49</v>
      </c>
      <c r="O14" s="89">
        <v>54</v>
      </c>
      <c r="P14" s="89">
        <v>57</v>
      </c>
      <c r="Q14" s="89">
        <v>80</v>
      </c>
      <c r="R14" s="78">
        <v>141</v>
      </c>
      <c r="S14" s="78">
        <v>140</v>
      </c>
      <c r="T14" s="78">
        <v>64</v>
      </c>
      <c r="U14" s="78">
        <v>2166</v>
      </c>
      <c r="V14" s="78">
        <v>2243</v>
      </c>
      <c r="W14" s="78">
        <v>3633</v>
      </c>
      <c r="X14" s="163">
        <v>3710</v>
      </c>
    </row>
    <row r="15" spans="1:24" ht="21.75" customHeight="1">
      <c r="A15" s="13"/>
      <c r="B15" s="52" t="s">
        <v>179</v>
      </c>
      <c r="C15" s="94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2394</v>
      </c>
      <c r="J15" s="162">
        <v>0</v>
      </c>
      <c r="K15" s="89">
        <v>0</v>
      </c>
      <c r="L15" s="89">
        <v>0</v>
      </c>
      <c r="M15" s="125">
        <v>0</v>
      </c>
      <c r="N15" s="78">
        <v>0</v>
      </c>
      <c r="O15" s="89">
        <v>0</v>
      </c>
      <c r="P15" s="89">
        <v>0</v>
      </c>
      <c r="Q15" s="89">
        <v>0</v>
      </c>
      <c r="R15" s="78">
        <v>0</v>
      </c>
      <c r="S15" s="78">
        <v>0</v>
      </c>
      <c r="T15" s="78">
        <v>0</v>
      </c>
      <c r="U15" s="78">
        <v>2860</v>
      </c>
      <c r="V15" s="78">
        <v>2394</v>
      </c>
      <c r="W15" s="78">
        <v>1795</v>
      </c>
      <c r="X15" s="163">
        <v>1360</v>
      </c>
    </row>
    <row r="16" spans="1:24" ht="21.75" customHeight="1">
      <c r="A16" s="13"/>
      <c r="B16" s="52" t="s">
        <v>159</v>
      </c>
      <c r="C16" s="94">
        <v>0</v>
      </c>
      <c r="D16" s="78">
        <v>0</v>
      </c>
      <c r="E16" s="78">
        <v>0</v>
      </c>
      <c r="F16" s="78">
        <v>7859</v>
      </c>
      <c r="G16" s="78">
        <v>8172</v>
      </c>
      <c r="H16" s="78">
        <v>7683</v>
      </c>
      <c r="I16" s="78">
        <v>9153</v>
      </c>
      <c r="J16" s="162">
        <v>7859</v>
      </c>
      <c r="K16" s="89">
        <f>7948</f>
        <v>7948</v>
      </c>
      <c r="L16" s="89">
        <f>7937</f>
        <v>7937</v>
      </c>
      <c r="M16" s="125">
        <f>7798</f>
        <v>7798</v>
      </c>
      <c r="N16" s="78">
        <v>8172</v>
      </c>
      <c r="O16" s="89">
        <f>7574</f>
        <v>7574</v>
      </c>
      <c r="P16" s="89">
        <f>6922</f>
        <v>6922</v>
      </c>
      <c r="Q16" s="89">
        <f>7483</f>
        <v>7483</v>
      </c>
      <c r="R16" s="78">
        <v>7683</v>
      </c>
      <c r="S16" s="78">
        <v>7845</v>
      </c>
      <c r="T16" s="78">
        <v>6770</v>
      </c>
      <c r="U16" s="78">
        <v>8783</v>
      </c>
      <c r="V16" s="78">
        <v>9153</v>
      </c>
      <c r="W16" s="78">
        <v>9566</v>
      </c>
      <c r="X16" s="163">
        <v>10026</v>
      </c>
    </row>
    <row r="17" spans="1:24" ht="20" customHeight="1" thickBot="1">
      <c r="A17" s="12"/>
      <c r="B17" s="52" t="s">
        <v>43</v>
      </c>
      <c r="C17" s="94">
        <v>9335</v>
      </c>
      <c r="D17" s="78">
        <v>8405</v>
      </c>
      <c r="E17" s="78">
        <v>13182</v>
      </c>
      <c r="F17" s="78">
        <v>648</v>
      </c>
      <c r="G17" s="78">
        <v>370</v>
      </c>
      <c r="H17" s="78">
        <v>268</v>
      </c>
      <c r="I17" s="78">
        <v>203</v>
      </c>
      <c r="J17" s="162">
        <v>648</v>
      </c>
      <c r="K17" s="89">
        <f>15154-4793-1694-7948</f>
        <v>719</v>
      </c>
      <c r="L17" s="89">
        <f>15507-4995-1857-7937</f>
        <v>718</v>
      </c>
      <c r="M17" s="125">
        <f>16342-5201-2750-7798</f>
        <v>593</v>
      </c>
      <c r="N17" s="78">
        <v>370</v>
      </c>
      <c r="O17" s="89">
        <f>18161-5618-4034-7574</f>
        <v>935</v>
      </c>
      <c r="P17" s="125">
        <f>7704-6922</f>
        <v>782</v>
      </c>
      <c r="Q17" s="125">
        <f>8278-7483</f>
        <v>795</v>
      </c>
      <c r="R17" s="78">
        <v>268</v>
      </c>
      <c r="S17" s="78">
        <v>239</v>
      </c>
      <c r="T17" s="78">
        <v>223</v>
      </c>
      <c r="U17" s="78">
        <v>197</v>
      </c>
      <c r="V17" s="78">
        <v>203</v>
      </c>
      <c r="W17" s="78">
        <v>358</v>
      </c>
      <c r="X17" s="163">
        <v>302</v>
      </c>
    </row>
    <row r="18" spans="1:24" ht="20" customHeight="1" thickBot="1">
      <c r="A18" s="13"/>
      <c r="B18" s="35"/>
      <c r="C18" s="82">
        <f>SUM(C9:C17)</f>
        <v>134216</v>
      </c>
      <c r="D18" s="79">
        <f t="shared" ref="D18:O18" si="0">SUM(D9:D17)</f>
        <v>155488</v>
      </c>
      <c r="E18" s="79">
        <f t="shared" si="0"/>
        <v>175072</v>
      </c>
      <c r="F18" s="79">
        <f t="shared" si="0"/>
        <v>151093</v>
      </c>
      <c r="G18" s="79">
        <f t="shared" ref="G18:H18" si="1">SUM(G9:G17)</f>
        <v>166985</v>
      </c>
      <c r="H18" s="79">
        <f t="shared" si="1"/>
        <v>188021</v>
      </c>
      <c r="I18" s="79">
        <f t="shared" si="0"/>
        <v>198464</v>
      </c>
      <c r="J18" s="157">
        <f t="shared" ref="J18" si="2">SUM(J9:J17)</f>
        <v>151093</v>
      </c>
      <c r="K18" s="158">
        <f t="shared" si="0"/>
        <v>162882</v>
      </c>
      <c r="L18" s="258">
        <f t="shared" si="0"/>
        <v>166957</v>
      </c>
      <c r="M18" s="258">
        <f t="shared" si="0"/>
        <v>166562</v>
      </c>
      <c r="N18" s="158">
        <f t="shared" si="0"/>
        <v>166985</v>
      </c>
      <c r="O18" s="258">
        <f t="shared" si="0"/>
        <v>165559</v>
      </c>
      <c r="P18" s="258">
        <f t="shared" ref="P18:U18" si="3">SUM(P9:P17)</f>
        <v>173141</v>
      </c>
      <c r="Q18" s="258">
        <f t="shared" si="3"/>
        <v>177934</v>
      </c>
      <c r="R18" s="158">
        <f t="shared" si="3"/>
        <v>188021</v>
      </c>
      <c r="S18" s="158">
        <f t="shared" si="3"/>
        <v>188060</v>
      </c>
      <c r="T18" s="158">
        <f t="shared" si="3"/>
        <v>187698</v>
      </c>
      <c r="U18" s="158">
        <f t="shared" si="3"/>
        <v>196606</v>
      </c>
      <c r="V18" s="158">
        <f>SUM(V9:V17)</f>
        <v>198464</v>
      </c>
      <c r="W18" s="158">
        <f>SUM(W9:W17)</f>
        <v>202932</v>
      </c>
      <c r="X18" s="159">
        <f>SUM(X9:X17)</f>
        <v>202464</v>
      </c>
    </row>
    <row r="19" spans="1:24" ht="20" customHeight="1">
      <c r="A19" s="13"/>
      <c r="B19" s="53"/>
      <c r="C19" s="220"/>
      <c r="D19" s="119"/>
      <c r="E19" s="119"/>
      <c r="F19" s="119"/>
      <c r="G19" s="119"/>
      <c r="H19" s="119"/>
      <c r="I19" s="119"/>
      <c r="J19" s="171"/>
      <c r="K19" s="21"/>
      <c r="L19" s="147"/>
      <c r="M19" s="21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72"/>
    </row>
    <row r="20" spans="1:24" ht="20" customHeight="1">
      <c r="A20" s="13"/>
      <c r="B20" s="51" t="s">
        <v>44</v>
      </c>
      <c r="C20" s="221"/>
      <c r="D20" s="86"/>
      <c r="E20" s="86"/>
      <c r="F20" s="120"/>
      <c r="G20" s="120"/>
      <c r="H20" s="120"/>
      <c r="I20" s="120"/>
      <c r="J20" s="171"/>
      <c r="K20" s="65"/>
      <c r="L20" s="146"/>
      <c r="M20" s="65"/>
      <c r="N20" s="120"/>
      <c r="O20" s="86"/>
      <c r="P20" s="117"/>
      <c r="Q20" s="117"/>
      <c r="R20" s="120"/>
      <c r="S20" s="120"/>
      <c r="T20" s="120"/>
      <c r="U20" s="120"/>
      <c r="V20" s="120"/>
      <c r="W20" s="120"/>
      <c r="X20" s="172"/>
    </row>
    <row r="21" spans="1:24" ht="20" customHeight="1">
      <c r="A21" s="13"/>
      <c r="B21" s="52" t="s">
        <v>45</v>
      </c>
      <c r="C21" s="94">
        <v>29377</v>
      </c>
      <c r="D21" s="78">
        <v>36790</v>
      </c>
      <c r="E21" s="78">
        <v>41876</v>
      </c>
      <c r="F21" s="78">
        <v>45502</v>
      </c>
      <c r="G21" s="78">
        <v>41782</v>
      </c>
      <c r="H21" s="78">
        <v>41751</v>
      </c>
      <c r="I21" s="78">
        <v>70590</v>
      </c>
      <c r="J21" s="162">
        <v>45502</v>
      </c>
      <c r="K21" s="89">
        <f>45968-2041</f>
        <v>43927</v>
      </c>
      <c r="L21" s="89">
        <f>44339-2041</f>
        <v>42298</v>
      </c>
      <c r="M21" s="125">
        <f>42359-2041</f>
        <v>40318</v>
      </c>
      <c r="N21" s="78">
        <v>41782</v>
      </c>
      <c r="O21" s="89">
        <f>46942-2498</f>
        <v>44444</v>
      </c>
      <c r="P21" s="89">
        <v>41987</v>
      </c>
      <c r="Q21" s="89">
        <v>43389</v>
      </c>
      <c r="R21" s="78">
        <v>41751</v>
      </c>
      <c r="S21" s="78">
        <v>49340</v>
      </c>
      <c r="T21" s="78">
        <v>56813</v>
      </c>
      <c r="U21" s="78">
        <v>65386</v>
      </c>
      <c r="V21" s="78">
        <v>70590</v>
      </c>
      <c r="W21" s="78">
        <v>88332</v>
      </c>
      <c r="X21" s="163">
        <v>85103</v>
      </c>
    </row>
    <row r="22" spans="1:24" ht="20" customHeight="1">
      <c r="A22" s="13"/>
      <c r="B22" s="52" t="s">
        <v>46</v>
      </c>
      <c r="C22" s="94">
        <v>12</v>
      </c>
      <c r="D22" s="78">
        <v>111</v>
      </c>
      <c r="E22" s="78">
        <v>23</v>
      </c>
      <c r="F22" s="78">
        <v>6</v>
      </c>
      <c r="G22" s="78">
        <v>0</v>
      </c>
      <c r="H22" s="78">
        <v>0</v>
      </c>
      <c r="I22" s="78">
        <v>2</v>
      </c>
      <c r="J22" s="162">
        <v>6</v>
      </c>
      <c r="K22" s="89">
        <v>4</v>
      </c>
      <c r="L22" s="89">
        <v>0</v>
      </c>
      <c r="M22" s="125">
        <v>0</v>
      </c>
      <c r="N22" s="78">
        <v>0</v>
      </c>
      <c r="O22" s="89">
        <v>0</v>
      </c>
      <c r="P22" s="89">
        <v>0</v>
      </c>
      <c r="Q22" s="89">
        <v>0</v>
      </c>
      <c r="R22" s="78">
        <v>0</v>
      </c>
      <c r="S22" s="78">
        <v>0</v>
      </c>
      <c r="T22" s="78">
        <v>80</v>
      </c>
      <c r="U22" s="78">
        <v>0</v>
      </c>
      <c r="V22" s="78">
        <v>2</v>
      </c>
      <c r="W22" s="78">
        <v>0</v>
      </c>
      <c r="X22" s="163">
        <v>0</v>
      </c>
    </row>
    <row r="23" spans="1:24" ht="20" customHeight="1">
      <c r="A23" s="12"/>
      <c r="B23" s="52" t="s">
        <v>47</v>
      </c>
      <c r="C23" s="94">
        <v>75543</v>
      </c>
      <c r="D23" s="78">
        <v>79806</v>
      </c>
      <c r="E23" s="78">
        <v>84349</v>
      </c>
      <c r="F23" s="78">
        <v>83573</v>
      </c>
      <c r="G23" s="78">
        <v>82171</v>
      </c>
      <c r="H23" s="78">
        <v>74531</v>
      </c>
      <c r="I23" s="78">
        <v>111766</v>
      </c>
      <c r="J23" s="162">
        <v>83573</v>
      </c>
      <c r="K23" s="89">
        <f>98518-15066-5523+1200</f>
        <v>79129</v>
      </c>
      <c r="L23" s="89">
        <f>103672-22408-5285+1200</f>
        <v>77179</v>
      </c>
      <c r="M23" s="125">
        <f>103019-11427-4897+1200</f>
        <v>87895</v>
      </c>
      <c r="N23" s="78">
        <v>82171</v>
      </c>
      <c r="O23" s="89">
        <f>92610-4261-12091+1200</f>
        <v>77458</v>
      </c>
      <c r="P23" s="125">
        <f>90482-14959-5030+1200</f>
        <v>71693</v>
      </c>
      <c r="Q23" s="125">
        <f>79904-4943+1200-10827</f>
        <v>65334</v>
      </c>
      <c r="R23" s="78">
        <v>74531</v>
      </c>
      <c r="S23" s="78">
        <v>83292</v>
      </c>
      <c r="T23" s="78">
        <v>95176</v>
      </c>
      <c r="U23" s="78">
        <v>94583</v>
      </c>
      <c r="V23" s="78">
        <v>111766</v>
      </c>
      <c r="W23" s="78">
        <v>109216</v>
      </c>
      <c r="X23" s="163">
        <v>124821</v>
      </c>
    </row>
    <row r="24" spans="1:24" ht="20" customHeight="1">
      <c r="A24" s="12"/>
      <c r="B24" s="52" t="s">
        <v>160</v>
      </c>
      <c r="C24" s="94">
        <v>0</v>
      </c>
      <c r="D24" s="78">
        <v>0</v>
      </c>
      <c r="E24" s="78">
        <v>0</v>
      </c>
      <c r="F24" s="78">
        <v>14254</v>
      </c>
      <c r="G24" s="78">
        <v>11801</v>
      </c>
      <c r="H24" s="78">
        <v>11409</v>
      </c>
      <c r="I24" s="78">
        <v>21214</v>
      </c>
      <c r="J24" s="162">
        <v>14254</v>
      </c>
      <c r="K24" s="89">
        <f>15066</f>
        <v>15066</v>
      </c>
      <c r="L24" s="89">
        <f>22408</f>
        <v>22408</v>
      </c>
      <c r="M24" s="125">
        <f>11427</f>
        <v>11427</v>
      </c>
      <c r="N24" s="78">
        <v>11801</v>
      </c>
      <c r="O24" s="89">
        <f>12091</f>
        <v>12091</v>
      </c>
      <c r="P24" s="125">
        <f>14959</f>
        <v>14959</v>
      </c>
      <c r="Q24" s="125">
        <f>10827</f>
        <v>10827</v>
      </c>
      <c r="R24" s="78">
        <v>11409</v>
      </c>
      <c r="S24" s="78">
        <v>11888</v>
      </c>
      <c r="T24" s="78">
        <v>24359</v>
      </c>
      <c r="U24" s="78">
        <v>17807</v>
      </c>
      <c r="V24" s="78">
        <v>21214</v>
      </c>
      <c r="W24" s="78">
        <v>27094</v>
      </c>
      <c r="X24" s="163">
        <v>33575</v>
      </c>
    </row>
    <row r="25" spans="1:24" ht="20" customHeight="1">
      <c r="A25" s="12"/>
      <c r="B25" s="52" t="s">
        <v>161</v>
      </c>
      <c r="C25" s="94">
        <v>0</v>
      </c>
      <c r="D25" s="78">
        <v>0</v>
      </c>
      <c r="E25" s="78">
        <v>0</v>
      </c>
      <c r="F25" s="78">
        <v>4860</v>
      </c>
      <c r="G25" s="78">
        <v>3098</v>
      </c>
      <c r="H25" s="78">
        <v>3566</v>
      </c>
      <c r="I25" s="78">
        <v>4859</v>
      </c>
      <c r="J25" s="162">
        <v>4860</v>
      </c>
      <c r="K25" s="89">
        <f>5523-1200</f>
        <v>4323</v>
      </c>
      <c r="L25" s="89">
        <f>5285-1200</f>
        <v>4085</v>
      </c>
      <c r="M25" s="125">
        <f>4897-1200</f>
        <v>3697</v>
      </c>
      <c r="N25" s="78">
        <v>3098</v>
      </c>
      <c r="O25" s="89">
        <f>4261-1200</f>
        <v>3061</v>
      </c>
      <c r="P25" s="125">
        <f>5030-1200</f>
        <v>3830</v>
      </c>
      <c r="Q25" s="125">
        <f>4943-1200</f>
        <v>3743</v>
      </c>
      <c r="R25" s="78">
        <v>3566</v>
      </c>
      <c r="S25" s="78">
        <v>3272</v>
      </c>
      <c r="T25" s="78">
        <v>5388</v>
      </c>
      <c r="U25" s="78">
        <v>4512</v>
      </c>
      <c r="V25" s="78">
        <v>4859</v>
      </c>
      <c r="W25" s="78">
        <v>5295</v>
      </c>
      <c r="X25" s="163">
        <v>5165</v>
      </c>
    </row>
    <row r="26" spans="1:24" ht="20" customHeight="1">
      <c r="A26" s="12"/>
      <c r="B26" s="60" t="s">
        <v>85</v>
      </c>
      <c r="C26" s="94">
        <v>36</v>
      </c>
      <c r="D26" s="78">
        <v>59</v>
      </c>
      <c r="E26" s="78">
        <v>52</v>
      </c>
      <c r="F26" s="78">
        <v>5</v>
      </c>
      <c r="G26" s="78">
        <v>48</v>
      </c>
      <c r="H26" s="78">
        <v>0</v>
      </c>
      <c r="I26" s="78">
        <v>0</v>
      </c>
      <c r="J26" s="162">
        <v>5</v>
      </c>
      <c r="K26" s="89">
        <v>13</v>
      </c>
      <c r="L26" s="89">
        <v>1</v>
      </c>
      <c r="M26" s="125">
        <f>17</f>
        <v>17</v>
      </c>
      <c r="N26" s="78">
        <v>48</v>
      </c>
      <c r="O26" s="89">
        <v>0</v>
      </c>
      <c r="P26" s="125">
        <v>17</v>
      </c>
      <c r="Q26" s="125">
        <v>0</v>
      </c>
      <c r="R26" s="78">
        <v>0</v>
      </c>
      <c r="S26" s="78">
        <v>0</v>
      </c>
      <c r="T26" s="78">
        <v>0</v>
      </c>
      <c r="U26" s="78">
        <v>10</v>
      </c>
      <c r="V26" s="78">
        <v>0</v>
      </c>
      <c r="W26" s="78">
        <v>0</v>
      </c>
      <c r="X26" s="163">
        <v>0</v>
      </c>
    </row>
    <row r="27" spans="1:24" ht="20" customHeight="1">
      <c r="A27" s="13"/>
      <c r="B27" s="60" t="s">
        <v>48</v>
      </c>
      <c r="C27" s="94">
        <v>6408</v>
      </c>
      <c r="D27" s="78">
        <v>400</v>
      </c>
      <c r="E27" s="78">
        <v>422</v>
      </c>
      <c r="F27" s="78">
        <v>433</v>
      </c>
      <c r="G27" s="78">
        <v>1333</v>
      </c>
      <c r="H27" s="78">
        <v>359</v>
      </c>
      <c r="I27" s="78">
        <v>1104</v>
      </c>
      <c r="J27" s="162">
        <v>433</v>
      </c>
      <c r="K27" s="89">
        <v>764</v>
      </c>
      <c r="L27" s="89">
        <f>988</f>
        <v>988</v>
      </c>
      <c r="M27" s="125">
        <f>1342</f>
        <v>1342</v>
      </c>
      <c r="N27" s="78">
        <v>1333</v>
      </c>
      <c r="O27" s="89">
        <f>1265</f>
        <v>1265</v>
      </c>
      <c r="P27" s="89">
        <v>914</v>
      </c>
      <c r="Q27" s="89">
        <v>891</v>
      </c>
      <c r="R27" s="78">
        <v>359</v>
      </c>
      <c r="S27" s="78">
        <v>305</v>
      </c>
      <c r="T27" s="78">
        <v>437</v>
      </c>
      <c r="U27" s="78">
        <v>607</v>
      </c>
      <c r="V27" s="78">
        <v>1104</v>
      </c>
      <c r="W27" s="78">
        <v>1494</v>
      </c>
      <c r="X27" s="163">
        <v>862</v>
      </c>
    </row>
    <row r="28" spans="1:24" ht="20" customHeight="1">
      <c r="A28" s="13"/>
      <c r="B28" s="52" t="s">
        <v>49</v>
      </c>
      <c r="C28" s="94">
        <v>2253</v>
      </c>
      <c r="D28" s="95">
        <v>1841</v>
      </c>
      <c r="E28" s="78">
        <v>1816</v>
      </c>
      <c r="F28" s="78">
        <v>1699</v>
      </c>
      <c r="G28" s="78">
        <v>1918</v>
      </c>
      <c r="H28" s="78">
        <v>2941</v>
      </c>
      <c r="I28" s="78">
        <v>2775</v>
      </c>
      <c r="J28" s="162">
        <v>1699</v>
      </c>
      <c r="K28" s="89">
        <v>1529</v>
      </c>
      <c r="L28" s="89">
        <f>1215</f>
        <v>1215</v>
      </c>
      <c r="M28" s="89">
        <f>814</f>
        <v>814</v>
      </c>
      <c r="N28" s="78">
        <v>1918</v>
      </c>
      <c r="O28" s="89">
        <f>1840</f>
        <v>1840</v>
      </c>
      <c r="P28" s="89">
        <v>1680</v>
      </c>
      <c r="Q28" s="89">
        <v>1576</v>
      </c>
      <c r="R28" s="78">
        <v>2941</v>
      </c>
      <c r="S28" s="78">
        <v>3543</v>
      </c>
      <c r="T28" s="78">
        <v>1585</v>
      </c>
      <c r="U28" s="78">
        <v>3112</v>
      </c>
      <c r="V28" s="78">
        <v>2775</v>
      </c>
      <c r="W28" s="78">
        <v>2351</v>
      </c>
      <c r="X28" s="163">
        <v>1909</v>
      </c>
    </row>
    <row r="29" spans="1:24" ht="20" customHeight="1" thickBot="1">
      <c r="A29" s="13"/>
      <c r="B29" s="52" t="s">
        <v>50</v>
      </c>
      <c r="C29" s="94">
        <v>6771</v>
      </c>
      <c r="D29" s="78">
        <v>11108</v>
      </c>
      <c r="E29" s="78">
        <v>12664</v>
      </c>
      <c r="F29" s="78">
        <v>13523</v>
      </c>
      <c r="G29" s="78">
        <v>12754</v>
      </c>
      <c r="H29" s="78">
        <v>24228</v>
      </c>
      <c r="I29" s="78">
        <v>19939</v>
      </c>
      <c r="J29" s="162">
        <v>13523</v>
      </c>
      <c r="K29" s="89">
        <v>14084</v>
      </c>
      <c r="L29" s="89">
        <f>14921</f>
        <v>14921</v>
      </c>
      <c r="M29" s="125">
        <f>12855</f>
        <v>12855</v>
      </c>
      <c r="N29" s="78">
        <v>12754</v>
      </c>
      <c r="O29" s="89">
        <f>23691</f>
        <v>23691</v>
      </c>
      <c r="P29" s="89">
        <v>30439</v>
      </c>
      <c r="Q29" s="89">
        <v>27342</v>
      </c>
      <c r="R29" s="78">
        <v>24228</v>
      </c>
      <c r="S29" s="78">
        <v>30855</v>
      </c>
      <c r="T29" s="78">
        <v>26549</v>
      </c>
      <c r="U29" s="78">
        <v>25881</v>
      </c>
      <c r="V29" s="78">
        <v>19939</v>
      </c>
      <c r="W29" s="78">
        <v>29123</v>
      </c>
      <c r="X29" s="163">
        <v>38064</v>
      </c>
    </row>
    <row r="30" spans="1:24" ht="20" customHeight="1" thickBot="1">
      <c r="A30" s="13"/>
      <c r="B30" s="110"/>
      <c r="C30" s="111">
        <f>SUM(C21:C29)</f>
        <v>120400</v>
      </c>
      <c r="D30" s="112">
        <f t="shared" ref="D30:O30" si="4">SUM(D21:D29)</f>
        <v>130115</v>
      </c>
      <c r="E30" s="112">
        <f t="shared" si="4"/>
        <v>141202</v>
      </c>
      <c r="F30" s="112">
        <f t="shared" si="4"/>
        <v>163855</v>
      </c>
      <c r="G30" s="112">
        <f t="shared" ref="G30:H30" si="5">SUM(G21:G29)</f>
        <v>154905</v>
      </c>
      <c r="H30" s="112">
        <f t="shared" si="5"/>
        <v>158785</v>
      </c>
      <c r="I30" s="112">
        <f t="shared" si="4"/>
        <v>232249</v>
      </c>
      <c r="J30" s="157">
        <f t="shared" ref="J30" si="6">SUM(J21:J29)</f>
        <v>163855</v>
      </c>
      <c r="K30" s="158">
        <f t="shared" si="4"/>
        <v>158839</v>
      </c>
      <c r="L30" s="158">
        <f t="shared" si="4"/>
        <v>163095</v>
      </c>
      <c r="M30" s="158">
        <f t="shared" si="4"/>
        <v>158365</v>
      </c>
      <c r="N30" s="158">
        <f t="shared" si="4"/>
        <v>154905</v>
      </c>
      <c r="O30" s="158">
        <f t="shared" si="4"/>
        <v>163850</v>
      </c>
      <c r="P30" s="158">
        <f t="shared" ref="P30:V30" si="7">SUM(P21:P29)</f>
        <v>165519</v>
      </c>
      <c r="Q30" s="158">
        <f t="shared" si="7"/>
        <v>153102</v>
      </c>
      <c r="R30" s="158">
        <f t="shared" si="7"/>
        <v>158785</v>
      </c>
      <c r="S30" s="158">
        <f t="shared" si="7"/>
        <v>182495</v>
      </c>
      <c r="T30" s="158">
        <f t="shared" si="7"/>
        <v>210387</v>
      </c>
      <c r="U30" s="158">
        <f t="shared" si="7"/>
        <v>211898</v>
      </c>
      <c r="V30" s="158">
        <f t="shared" si="7"/>
        <v>232249</v>
      </c>
      <c r="W30" s="158">
        <f t="shared" ref="W30:X30" si="8">SUM(W21:W29)</f>
        <v>262905</v>
      </c>
      <c r="X30" s="159">
        <f t="shared" si="8"/>
        <v>289499</v>
      </c>
    </row>
    <row r="31" spans="1:24" ht="20" customHeight="1" thickBot="1">
      <c r="A31" s="13"/>
      <c r="B31" s="43" t="s">
        <v>51</v>
      </c>
      <c r="C31" s="82">
        <f>C30+C18</f>
        <v>254616</v>
      </c>
      <c r="D31" s="79">
        <f t="shared" ref="D31:O31" si="9">D30+D18</f>
        <v>285603</v>
      </c>
      <c r="E31" s="79">
        <f t="shared" si="9"/>
        <v>316274</v>
      </c>
      <c r="F31" s="79">
        <f t="shared" si="9"/>
        <v>314948</v>
      </c>
      <c r="G31" s="79">
        <f t="shared" ref="G31:H31" si="10">G30+G18</f>
        <v>321890</v>
      </c>
      <c r="H31" s="79">
        <f t="shared" si="10"/>
        <v>346806</v>
      </c>
      <c r="I31" s="79">
        <f t="shared" si="9"/>
        <v>430713</v>
      </c>
      <c r="J31" s="157">
        <f t="shared" ref="J31" si="11">J30+J18</f>
        <v>314948</v>
      </c>
      <c r="K31" s="158">
        <f t="shared" si="9"/>
        <v>321721</v>
      </c>
      <c r="L31" s="158">
        <f t="shared" si="9"/>
        <v>330052</v>
      </c>
      <c r="M31" s="158">
        <f t="shared" si="9"/>
        <v>324927</v>
      </c>
      <c r="N31" s="158">
        <f t="shared" si="9"/>
        <v>321890</v>
      </c>
      <c r="O31" s="158">
        <f t="shared" si="9"/>
        <v>329409</v>
      </c>
      <c r="P31" s="158">
        <f t="shared" ref="P31:V31" si="12">P30+P18</f>
        <v>338660</v>
      </c>
      <c r="Q31" s="158">
        <f t="shared" si="12"/>
        <v>331036</v>
      </c>
      <c r="R31" s="158">
        <f t="shared" si="12"/>
        <v>346806</v>
      </c>
      <c r="S31" s="158">
        <f t="shared" si="12"/>
        <v>370555</v>
      </c>
      <c r="T31" s="158">
        <f t="shared" si="12"/>
        <v>398085</v>
      </c>
      <c r="U31" s="158">
        <f t="shared" si="12"/>
        <v>408504</v>
      </c>
      <c r="V31" s="158">
        <f t="shared" si="12"/>
        <v>430713</v>
      </c>
      <c r="W31" s="158">
        <f t="shared" ref="W31:X31" si="13">W30+W18</f>
        <v>465837</v>
      </c>
      <c r="X31" s="159">
        <f t="shared" si="13"/>
        <v>491963</v>
      </c>
    </row>
    <row r="32" spans="1:24" ht="20" customHeight="1">
      <c r="A32" s="13"/>
      <c r="B32" s="51"/>
      <c r="C32" s="222"/>
      <c r="D32" s="223"/>
      <c r="E32" s="86"/>
      <c r="F32" s="27"/>
      <c r="G32" s="27"/>
      <c r="H32" s="27"/>
      <c r="I32" s="27"/>
      <c r="J32" s="198"/>
      <c r="K32" s="65"/>
      <c r="L32" s="65"/>
      <c r="M32" s="65"/>
      <c r="N32" s="27"/>
      <c r="O32" s="65"/>
      <c r="P32" s="65"/>
      <c r="Q32" s="65"/>
      <c r="R32" s="27"/>
      <c r="S32" s="27"/>
      <c r="T32" s="27"/>
      <c r="U32" s="27"/>
      <c r="V32" s="27"/>
      <c r="W32" s="27"/>
      <c r="X32" s="199"/>
    </row>
    <row r="33" spans="1:24" ht="21" customHeight="1">
      <c r="A33" s="13"/>
      <c r="B33" s="53" t="s">
        <v>52</v>
      </c>
      <c r="C33" s="222"/>
      <c r="D33" s="223"/>
      <c r="E33" s="65"/>
      <c r="F33" s="86"/>
      <c r="G33" s="86"/>
      <c r="H33" s="86"/>
      <c r="I33" s="86"/>
      <c r="J33" s="167"/>
      <c r="K33" s="154"/>
      <c r="L33" s="154"/>
      <c r="M33" s="65"/>
      <c r="N33" s="86"/>
      <c r="O33" s="65"/>
      <c r="P33" s="65"/>
      <c r="Q33" s="65"/>
      <c r="R33" s="86"/>
      <c r="S33" s="86"/>
      <c r="T33" s="86"/>
      <c r="U33" s="86"/>
      <c r="V33" s="86"/>
      <c r="W33" s="86"/>
      <c r="X33" s="200"/>
    </row>
    <row r="34" spans="1:24" ht="20" customHeight="1">
      <c r="A34" s="13"/>
      <c r="B34" s="61" t="s">
        <v>54</v>
      </c>
      <c r="C34" s="222"/>
      <c r="D34" s="223"/>
      <c r="E34" s="65"/>
      <c r="F34" s="86"/>
      <c r="G34" s="86"/>
      <c r="H34" s="86"/>
      <c r="I34" s="86"/>
      <c r="J34" s="167"/>
      <c r="K34" s="65"/>
      <c r="L34" s="65"/>
      <c r="M34" s="65"/>
      <c r="N34" s="86"/>
      <c r="O34" s="65"/>
      <c r="P34" s="65"/>
      <c r="Q34" s="65"/>
      <c r="R34" s="86"/>
      <c r="S34" s="86"/>
      <c r="T34" s="86"/>
      <c r="U34" s="86"/>
      <c r="V34" s="86"/>
      <c r="W34" s="86"/>
      <c r="X34" s="200"/>
    </row>
    <row r="35" spans="1:24" ht="20" customHeight="1">
      <c r="A35" s="13"/>
      <c r="B35" s="62" t="s">
        <v>55</v>
      </c>
      <c r="C35" s="94">
        <v>3915</v>
      </c>
      <c r="D35" s="78">
        <v>3915</v>
      </c>
      <c r="E35" s="78">
        <v>3915</v>
      </c>
      <c r="F35" s="78">
        <v>3915</v>
      </c>
      <c r="G35" s="78">
        <v>3915</v>
      </c>
      <c r="H35" s="78">
        <v>3915</v>
      </c>
      <c r="I35" s="78">
        <v>3915</v>
      </c>
      <c r="J35" s="162">
        <v>3915</v>
      </c>
      <c r="K35" s="89">
        <f>3915</f>
        <v>3915</v>
      </c>
      <c r="L35" s="89">
        <v>3915</v>
      </c>
      <c r="M35" s="89">
        <v>3915</v>
      </c>
      <c r="N35" s="78">
        <v>3915</v>
      </c>
      <c r="O35" s="89">
        <f>3915</f>
        <v>3915</v>
      </c>
      <c r="P35" s="125">
        <v>3915</v>
      </c>
      <c r="Q35" s="125">
        <v>3915</v>
      </c>
      <c r="R35" s="78">
        <v>3915</v>
      </c>
      <c r="S35" s="78">
        <v>3915</v>
      </c>
      <c r="T35" s="78">
        <v>3915</v>
      </c>
      <c r="U35" s="78">
        <v>3915</v>
      </c>
      <c r="V35" s="78">
        <v>3915</v>
      </c>
      <c r="W35" s="78">
        <v>3915</v>
      </c>
      <c r="X35" s="163">
        <v>3915</v>
      </c>
    </row>
    <row r="36" spans="1:24" ht="20" customHeight="1">
      <c r="A36" s="13"/>
      <c r="B36" s="62" t="s">
        <v>56</v>
      </c>
      <c r="C36" s="94">
        <v>106202</v>
      </c>
      <c r="D36" s="78">
        <v>106202</v>
      </c>
      <c r="E36" s="78">
        <v>106202</v>
      </c>
      <c r="F36" s="78">
        <v>106202</v>
      </c>
      <c r="G36" s="78">
        <v>106202</v>
      </c>
      <c r="H36" s="78">
        <v>106202</v>
      </c>
      <c r="I36" s="78">
        <v>106202</v>
      </c>
      <c r="J36" s="162">
        <v>106202</v>
      </c>
      <c r="K36" s="89">
        <f>106202</f>
        <v>106202</v>
      </c>
      <c r="L36" s="89">
        <v>106202</v>
      </c>
      <c r="M36" s="89">
        <v>106202</v>
      </c>
      <c r="N36" s="78">
        <v>106202</v>
      </c>
      <c r="O36" s="89">
        <f>106202</f>
        <v>106202</v>
      </c>
      <c r="P36" s="125">
        <v>106202</v>
      </c>
      <c r="Q36" s="125">
        <v>106202</v>
      </c>
      <c r="R36" s="78">
        <v>106202</v>
      </c>
      <c r="S36" s="78">
        <v>106202</v>
      </c>
      <c r="T36" s="78">
        <v>106202</v>
      </c>
      <c r="U36" s="78">
        <v>106202</v>
      </c>
      <c r="V36" s="78">
        <v>106202</v>
      </c>
      <c r="W36" s="78">
        <v>106202</v>
      </c>
      <c r="X36" s="163">
        <v>106202</v>
      </c>
    </row>
    <row r="37" spans="1:24" ht="20" customHeight="1">
      <c r="A37" s="13"/>
      <c r="B37" s="62" t="s">
        <v>181</v>
      </c>
      <c r="C37" s="94">
        <v>0</v>
      </c>
      <c r="D37" s="78">
        <v>0</v>
      </c>
      <c r="E37" s="78">
        <v>0</v>
      </c>
      <c r="F37" s="78">
        <v>0</v>
      </c>
      <c r="G37" s="78">
        <v>0</v>
      </c>
      <c r="H37" s="78">
        <v>23500</v>
      </c>
      <c r="I37" s="78">
        <v>7245</v>
      </c>
      <c r="J37" s="162">
        <v>0</v>
      </c>
      <c r="K37" s="89">
        <v>0</v>
      </c>
      <c r="L37" s="89">
        <v>0</v>
      </c>
      <c r="M37" s="89">
        <v>0</v>
      </c>
      <c r="N37" s="78">
        <v>0</v>
      </c>
      <c r="O37" s="89">
        <v>0</v>
      </c>
      <c r="P37" s="125">
        <v>23500</v>
      </c>
      <c r="Q37" s="125">
        <v>23500</v>
      </c>
      <c r="R37" s="78">
        <v>23500</v>
      </c>
      <c r="S37" s="78">
        <v>23500</v>
      </c>
      <c r="T37" s="78">
        <v>7245</v>
      </c>
      <c r="U37" s="78">
        <v>7245</v>
      </c>
      <c r="V37" s="78">
        <v>7245</v>
      </c>
      <c r="W37" s="78">
        <v>7245</v>
      </c>
      <c r="X37" s="163">
        <v>7245</v>
      </c>
    </row>
    <row r="38" spans="1:24" ht="20" customHeight="1">
      <c r="A38" s="13"/>
      <c r="B38" s="62" t="s">
        <v>182</v>
      </c>
      <c r="C38" s="94">
        <v>857</v>
      </c>
      <c r="D38" s="78">
        <v>857</v>
      </c>
      <c r="E38" s="78">
        <v>857</v>
      </c>
      <c r="F38" s="78">
        <v>857</v>
      </c>
      <c r="G38" s="78">
        <v>857</v>
      </c>
      <c r="H38" s="78">
        <v>857</v>
      </c>
      <c r="I38" s="78">
        <v>857</v>
      </c>
      <c r="J38" s="162">
        <v>857</v>
      </c>
      <c r="K38" s="89">
        <v>857</v>
      </c>
      <c r="L38" s="89">
        <v>857</v>
      </c>
      <c r="M38" s="89">
        <v>857</v>
      </c>
      <c r="N38" s="78">
        <v>857</v>
      </c>
      <c r="O38" s="89">
        <v>857</v>
      </c>
      <c r="P38" s="125">
        <v>857</v>
      </c>
      <c r="Q38" s="125">
        <v>857</v>
      </c>
      <c r="R38" s="78">
        <v>857</v>
      </c>
      <c r="S38" s="78">
        <v>857</v>
      </c>
      <c r="T38" s="78">
        <v>857</v>
      </c>
      <c r="U38" s="78">
        <v>857</v>
      </c>
      <c r="V38" s="78">
        <v>857</v>
      </c>
      <c r="W38" s="78">
        <v>857</v>
      </c>
      <c r="X38" s="163">
        <v>857</v>
      </c>
    </row>
    <row r="39" spans="1:24" ht="20" customHeight="1">
      <c r="A39" s="13"/>
      <c r="B39" s="62" t="s">
        <v>57</v>
      </c>
      <c r="C39" s="94">
        <v>0</v>
      </c>
      <c r="D39" s="78">
        <v>0</v>
      </c>
      <c r="E39" s="78">
        <v>6944</v>
      </c>
      <c r="F39" s="78">
        <v>0</v>
      </c>
      <c r="G39" s="78">
        <v>0</v>
      </c>
      <c r="H39" s="78">
        <v>0</v>
      </c>
      <c r="I39" s="78">
        <v>0</v>
      </c>
      <c r="J39" s="162">
        <v>0</v>
      </c>
      <c r="K39" s="89">
        <v>0</v>
      </c>
      <c r="L39" s="89">
        <v>0</v>
      </c>
      <c r="M39" s="89">
        <v>0</v>
      </c>
      <c r="N39" s="78">
        <v>0</v>
      </c>
      <c r="O39" s="89">
        <v>0</v>
      </c>
      <c r="P39" s="125">
        <v>0</v>
      </c>
      <c r="Q39" s="125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163">
        <v>0</v>
      </c>
    </row>
    <row r="40" spans="1:24" ht="20" customHeight="1">
      <c r="A40" s="12"/>
      <c r="B40" s="105" t="s">
        <v>103</v>
      </c>
      <c r="C40" s="94">
        <v>1400</v>
      </c>
      <c r="D40" s="78">
        <v>2276</v>
      </c>
      <c r="E40" s="78">
        <v>1167</v>
      </c>
      <c r="F40" s="78">
        <v>0</v>
      </c>
      <c r="G40" s="78">
        <v>0</v>
      </c>
      <c r="H40" s="78">
        <v>0</v>
      </c>
      <c r="I40" s="78">
        <v>0</v>
      </c>
      <c r="J40" s="162">
        <v>0</v>
      </c>
      <c r="K40" s="89">
        <v>0</v>
      </c>
      <c r="L40" s="89">
        <v>0</v>
      </c>
      <c r="M40" s="89">
        <v>0</v>
      </c>
      <c r="N40" s="78">
        <v>0</v>
      </c>
      <c r="O40" s="89">
        <v>0</v>
      </c>
      <c r="P40" s="125">
        <v>0</v>
      </c>
      <c r="Q40" s="125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163">
        <v>0</v>
      </c>
    </row>
    <row r="41" spans="1:24" ht="20" customHeight="1">
      <c r="A41" s="12"/>
      <c r="B41" s="105" t="s">
        <v>106</v>
      </c>
      <c r="C41" s="94">
        <v>0</v>
      </c>
      <c r="D41" s="78">
        <v>0</v>
      </c>
      <c r="E41" s="78">
        <v>0</v>
      </c>
      <c r="F41" s="78">
        <v>4518</v>
      </c>
      <c r="G41" s="78">
        <v>4440</v>
      </c>
      <c r="H41" s="78">
        <v>5222</v>
      </c>
      <c r="I41" s="78">
        <v>4641</v>
      </c>
      <c r="J41" s="162">
        <v>4518</v>
      </c>
      <c r="K41" s="89">
        <f>7975+2978-6881+186</f>
        <v>4258</v>
      </c>
      <c r="L41" s="89">
        <f>7975+1490-6881+500</f>
        <v>3084</v>
      </c>
      <c r="M41" s="89">
        <f>7975+1850-6881+875</f>
        <v>3819</v>
      </c>
      <c r="N41" s="78">
        <v>4440</v>
      </c>
      <c r="O41" s="89">
        <f>9310-326-6229</f>
        <v>2755</v>
      </c>
      <c r="P41" s="125">
        <v>2294</v>
      </c>
      <c r="Q41" s="125">
        <v>4513</v>
      </c>
      <c r="R41" s="78">
        <v>5222</v>
      </c>
      <c r="S41" s="78">
        <v>3468</v>
      </c>
      <c r="T41" s="78">
        <v>7827</v>
      </c>
      <c r="U41" s="78">
        <v>6811</v>
      </c>
      <c r="V41" s="78">
        <v>4641</v>
      </c>
      <c r="W41" s="78">
        <v>7586</v>
      </c>
      <c r="X41" s="163">
        <v>8157</v>
      </c>
    </row>
    <row r="42" spans="1:24" ht="20" customHeight="1">
      <c r="A42" s="12"/>
      <c r="B42" s="105" t="s">
        <v>144</v>
      </c>
      <c r="C42" s="94">
        <v>0</v>
      </c>
      <c r="D42" s="78">
        <v>0</v>
      </c>
      <c r="E42" s="78">
        <v>0</v>
      </c>
      <c r="F42" s="78">
        <v>0</v>
      </c>
      <c r="G42" s="78">
        <v>0</v>
      </c>
      <c r="H42" s="78">
        <v>-543</v>
      </c>
      <c r="I42" s="78">
        <v>-922</v>
      </c>
      <c r="J42" s="162">
        <v>0</v>
      </c>
      <c r="K42" s="89">
        <v>0</v>
      </c>
      <c r="L42" s="89">
        <v>0</v>
      </c>
      <c r="M42" s="89">
        <v>0</v>
      </c>
      <c r="N42" s="78">
        <v>0</v>
      </c>
      <c r="O42" s="89">
        <v>0</v>
      </c>
      <c r="P42" s="125">
        <v>-292</v>
      </c>
      <c r="Q42" s="125">
        <v>-518</v>
      </c>
      <c r="R42" s="78">
        <v>-543</v>
      </c>
      <c r="S42" s="78">
        <v>-604</v>
      </c>
      <c r="T42" s="78">
        <v>-632</v>
      </c>
      <c r="U42" s="78">
        <v>-691</v>
      </c>
      <c r="V42" s="78">
        <v>-922</v>
      </c>
      <c r="W42" s="78">
        <v>-981</v>
      </c>
      <c r="X42" s="163">
        <v>-1001</v>
      </c>
    </row>
    <row r="43" spans="1:24" ht="20" customHeight="1" thickBot="1">
      <c r="A43" s="12"/>
      <c r="B43" s="62" t="s">
        <v>58</v>
      </c>
      <c r="C43" s="94">
        <v>7803</v>
      </c>
      <c r="D43" s="78">
        <v>-3059</v>
      </c>
      <c r="E43" s="78">
        <v>7147</v>
      </c>
      <c r="F43" s="78">
        <v>4583</v>
      </c>
      <c r="G43" s="78">
        <v>26148</v>
      </c>
      <c r="H43" s="78">
        <v>25587</v>
      </c>
      <c r="I43" s="78">
        <v>62738</v>
      </c>
      <c r="J43" s="162">
        <v>4583</v>
      </c>
      <c r="K43" s="89">
        <f>27581+479-2041+388-16695+576-761-1208+229</f>
        <v>8548</v>
      </c>
      <c r="L43" s="89">
        <f>33648-2041+388-16695+479+576-833-1208+229</f>
        <v>14543</v>
      </c>
      <c r="M43" s="89">
        <f>40267-2041+388-16695+479+576-1018-1208+229</f>
        <v>20977</v>
      </c>
      <c r="N43" s="78">
        <v>26148</v>
      </c>
      <c r="O43" s="89">
        <f>53217-2498+475-19025+919+479-1208+229+184-34</f>
        <v>32738</v>
      </c>
      <c r="P43" s="125">
        <f>14935-1208+229+184-34</f>
        <v>14106</v>
      </c>
      <c r="Q43" s="125">
        <f>22779-1208+184+229-34</f>
        <v>21950</v>
      </c>
      <c r="R43" s="78">
        <v>25587</v>
      </c>
      <c r="S43" s="78">
        <v>33308</v>
      </c>
      <c r="T43" s="78">
        <v>49378</v>
      </c>
      <c r="U43" s="78">
        <v>55999</v>
      </c>
      <c r="V43" s="78">
        <v>62738</v>
      </c>
      <c r="W43" s="78">
        <v>73478</v>
      </c>
      <c r="X43" s="163">
        <v>73767</v>
      </c>
    </row>
    <row r="44" spans="1:24" ht="23.25" customHeight="1" thickBot="1">
      <c r="A44" s="13"/>
      <c r="B44" s="113" t="s">
        <v>59</v>
      </c>
      <c r="C44" s="157">
        <f t="shared" ref="C44:W44" si="14">SUM(C35:C43)</f>
        <v>120177</v>
      </c>
      <c r="D44" s="158">
        <f t="shared" si="14"/>
        <v>110191</v>
      </c>
      <c r="E44" s="158">
        <f t="shared" si="14"/>
        <v>126232</v>
      </c>
      <c r="F44" s="158">
        <f t="shared" si="14"/>
        <v>120075</v>
      </c>
      <c r="G44" s="158">
        <f t="shared" si="14"/>
        <v>141562</v>
      </c>
      <c r="H44" s="158">
        <f t="shared" si="14"/>
        <v>164740</v>
      </c>
      <c r="I44" s="158">
        <f t="shared" si="14"/>
        <v>184676</v>
      </c>
      <c r="J44" s="157">
        <f t="shared" si="14"/>
        <v>120075</v>
      </c>
      <c r="K44" s="258">
        <f t="shared" si="14"/>
        <v>123780</v>
      </c>
      <c r="L44" s="258">
        <f t="shared" si="14"/>
        <v>128601</v>
      </c>
      <c r="M44" s="258">
        <f t="shared" si="14"/>
        <v>135770</v>
      </c>
      <c r="N44" s="158">
        <f t="shared" si="14"/>
        <v>141562</v>
      </c>
      <c r="O44" s="158">
        <f t="shared" si="14"/>
        <v>146467</v>
      </c>
      <c r="P44" s="158">
        <f t="shared" si="14"/>
        <v>150582</v>
      </c>
      <c r="Q44" s="158">
        <f t="shared" si="14"/>
        <v>160419</v>
      </c>
      <c r="R44" s="158">
        <f t="shared" si="14"/>
        <v>164740</v>
      </c>
      <c r="S44" s="158">
        <f t="shared" si="14"/>
        <v>170646</v>
      </c>
      <c r="T44" s="158">
        <f t="shared" si="14"/>
        <v>174792</v>
      </c>
      <c r="U44" s="158">
        <f t="shared" si="14"/>
        <v>180338</v>
      </c>
      <c r="V44" s="158">
        <f t="shared" si="14"/>
        <v>184676</v>
      </c>
      <c r="W44" s="158">
        <f t="shared" si="14"/>
        <v>198302</v>
      </c>
      <c r="X44" s="159">
        <f t="shared" ref="X44" si="15">SUM(X35:X43)</f>
        <v>199142</v>
      </c>
    </row>
    <row r="45" spans="1:24" ht="20" customHeight="1" thickBot="1">
      <c r="A45" s="13"/>
      <c r="B45" s="62"/>
      <c r="C45" s="85"/>
      <c r="D45" s="86"/>
      <c r="E45" s="86"/>
      <c r="F45" s="27"/>
      <c r="G45" s="27"/>
      <c r="H45" s="27"/>
      <c r="I45" s="27"/>
      <c r="J45" s="198"/>
      <c r="K45" s="152"/>
      <c r="L45" s="152"/>
      <c r="M45" s="147"/>
      <c r="N45" s="27"/>
      <c r="O45" s="86"/>
      <c r="P45" s="117"/>
      <c r="Q45" s="117"/>
      <c r="R45" s="27"/>
      <c r="S45" s="27"/>
      <c r="T45" s="27"/>
      <c r="U45" s="27"/>
      <c r="V45" s="27"/>
      <c r="W45" s="27"/>
      <c r="X45" s="199"/>
    </row>
    <row r="46" spans="1:24" ht="20" customHeight="1" thickBot="1">
      <c r="A46" s="13"/>
      <c r="B46" s="173" t="s">
        <v>60</v>
      </c>
      <c r="C46" s="161">
        <v>3259</v>
      </c>
      <c r="D46" s="160">
        <v>5381</v>
      </c>
      <c r="E46" s="160">
        <v>4846</v>
      </c>
      <c r="F46" s="160">
        <v>3719</v>
      </c>
      <c r="G46" s="160">
        <v>4765</v>
      </c>
      <c r="H46" s="160">
        <v>6603</v>
      </c>
      <c r="I46" s="160">
        <v>7021</v>
      </c>
      <c r="J46" s="161">
        <v>3719</v>
      </c>
      <c r="K46" s="259">
        <f>4359-479</f>
        <v>3880</v>
      </c>
      <c r="L46" s="259">
        <f>5525-479</f>
        <v>5046</v>
      </c>
      <c r="M46" s="260">
        <f>5906-479+24</f>
        <v>5451</v>
      </c>
      <c r="N46" s="160">
        <v>4765</v>
      </c>
      <c r="O46" s="259">
        <f>6075-479</f>
        <v>5596</v>
      </c>
      <c r="P46" s="260">
        <v>5265</v>
      </c>
      <c r="Q46" s="260">
        <v>6059</v>
      </c>
      <c r="R46" s="160">
        <v>6603</v>
      </c>
      <c r="S46" s="160">
        <v>6990</v>
      </c>
      <c r="T46" s="160">
        <v>8060</v>
      </c>
      <c r="U46" s="160">
        <v>7531</v>
      </c>
      <c r="V46" s="160">
        <v>7021</v>
      </c>
      <c r="W46" s="160">
        <v>11482</v>
      </c>
      <c r="X46" s="261">
        <v>13180</v>
      </c>
    </row>
    <row r="47" spans="1:24" ht="20" customHeight="1" thickBot="1">
      <c r="A47" s="13"/>
      <c r="B47" s="113" t="s">
        <v>61</v>
      </c>
      <c r="C47" s="174">
        <f>C44+C46</f>
        <v>123436</v>
      </c>
      <c r="D47" s="98">
        <f t="shared" ref="D47:O47" si="16">D44+D46</f>
        <v>115572</v>
      </c>
      <c r="E47" s="98">
        <f t="shared" si="16"/>
        <v>131078</v>
      </c>
      <c r="F47" s="98">
        <f t="shared" si="16"/>
        <v>123794</v>
      </c>
      <c r="G47" s="98">
        <f t="shared" ref="G47:H47" si="17">G44+G46</f>
        <v>146327</v>
      </c>
      <c r="H47" s="98">
        <f t="shared" si="17"/>
        <v>171343</v>
      </c>
      <c r="I47" s="98">
        <f t="shared" si="16"/>
        <v>191697</v>
      </c>
      <c r="J47" s="157">
        <f t="shared" ref="J47" si="18">J44+J46</f>
        <v>123794</v>
      </c>
      <c r="K47" s="258">
        <f t="shared" si="16"/>
        <v>127660</v>
      </c>
      <c r="L47" s="258">
        <f t="shared" si="16"/>
        <v>133647</v>
      </c>
      <c r="M47" s="158">
        <f t="shared" si="16"/>
        <v>141221</v>
      </c>
      <c r="N47" s="158">
        <f t="shared" si="16"/>
        <v>146327</v>
      </c>
      <c r="O47" s="158">
        <f t="shared" si="16"/>
        <v>152063</v>
      </c>
      <c r="P47" s="158">
        <f t="shared" ref="P47:V47" si="19">P44+P46</f>
        <v>155847</v>
      </c>
      <c r="Q47" s="158">
        <f t="shared" si="19"/>
        <v>166478</v>
      </c>
      <c r="R47" s="158">
        <f t="shared" si="19"/>
        <v>171343</v>
      </c>
      <c r="S47" s="158">
        <f t="shared" si="19"/>
        <v>177636</v>
      </c>
      <c r="T47" s="158">
        <f t="shared" si="19"/>
        <v>182852</v>
      </c>
      <c r="U47" s="158">
        <f t="shared" si="19"/>
        <v>187869</v>
      </c>
      <c r="V47" s="158">
        <f t="shared" si="19"/>
        <v>191697</v>
      </c>
      <c r="W47" s="158">
        <f t="shared" ref="W47:X47" si="20">W44+W46</f>
        <v>209784</v>
      </c>
      <c r="X47" s="159">
        <f t="shared" si="20"/>
        <v>212322</v>
      </c>
    </row>
    <row r="48" spans="1:24" ht="20" customHeight="1">
      <c r="A48" s="12"/>
      <c r="B48" s="63"/>
      <c r="C48" s="32"/>
      <c r="D48" s="28"/>
      <c r="E48" s="28"/>
      <c r="F48" s="27"/>
      <c r="G48" s="27"/>
      <c r="H48" s="27"/>
      <c r="I48" s="27"/>
      <c r="J48" s="198"/>
      <c r="K48" s="146"/>
      <c r="L48" s="146"/>
      <c r="M48" s="65"/>
      <c r="N48" s="27"/>
      <c r="O48" s="88"/>
      <c r="P48" s="88"/>
      <c r="Q48" s="88"/>
      <c r="R48" s="27"/>
      <c r="S48" s="27"/>
      <c r="T48" s="27"/>
      <c r="U48" s="27"/>
      <c r="V48" s="27"/>
      <c r="W48" s="27"/>
      <c r="X48" s="199"/>
    </row>
    <row r="49" spans="1:24" ht="20" customHeight="1">
      <c r="A49" s="13"/>
      <c r="B49" s="61" t="s">
        <v>62</v>
      </c>
      <c r="C49" s="85"/>
      <c r="D49" s="86"/>
      <c r="E49" s="86"/>
      <c r="F49" s="28"/>
      <c r="G49" s="88"/>
      <c r="H49" s="88"/>
      <c r="I49" s="88"/>
      <c r="J49" s="201"/>
      <c r="K49" s="152"/>
      <c r="L49" s="152"/>
      <c r="M49" s="65"/>
      <c r="N49" s="88"/>
      <c r="O49" s="86"/>
      <c r="P49" s="86"/>
      <c r="Q49" s="86"/>
      <c r="R49" s="88"/>
      <c r="S49" s="88"/>
      <c r="T49" s="88"/>
      <c r="U49" s="88"/>
      <c r="V49" s="88"/>
      <c r="W49" s="88"/>
      <c r="X49" s="202"/>
    </row>
    <row r="50" spans="1:24" ht="20" customHeight="1">
      <c r="A50" s="12"/>
      <c r="B50" s="62" t="s">
        <v>63</v>
      </c>
      <c r="C50" s="94">
        <v>12444</v>
      </c>
      <c r="D50" s="78">
        <v>8289</v>
      </c>
      <c r="E50" s="78">
        <v>14155</v>
      </c>
      <c r="F50" s="78">
        <v>70180</v>
      </c>
      <c r="G50" s="78">
        <v>47018</v>
      </c>
      <c r="H50" s="78">
        <v>48529</v>
      </c>
      <c r="I50" s="78">
        <v>76150</v>
      </c>
      <c r="J50" s="162">
        <v>70180</v>
      </c>
      <c r="K50" s="89">
        <v>64734</v>
      </c>
      <c r="L50" s="89">
        <v>59719</v>
      </c>
      <c r="M50" s="89">
        <v>38889</v>
      </c>
      <c r="N50" s="78">
        <v>47018</v>
      </c>
      <c r="O50" s="89">
        <f>34658</f>
        <v>34658</v>
      </c>
      <c r="P50" s="125">
        <v>44406</v>
      </c>
      <c r="Q50" s="125">
        <v>50124</v>
      </c>
      <c r="R50" s="78">
        <v>48529</v>
      </c>
      <c r="S50" s="78">
        <v>55571</v>
      </c>
      <c r="T50" s="78">
        <v>69341</v>
      </c>
      <c r="U50" s="78">
        <v>78160</v>
      </c>
      <c r="V50" s="78">
        <v>76150</v>
      </c>
      <c r="W50" s="78">
        <v>78296</v>
      </c>
      <c r="X50" s="163">
        <v>78962</v>
      </c>
    </row>
    <row r="51" spans="1:24" ht="20" customHeight="1">
      <c r="A51" s="12"/>
      <c r="B51" s="62" t="s">
        <v>164</v>
      </c>
      <c r="C51" s="94">
        <v>2335</v>
      </c>
      <c r="D51" s="78">
        <v>1270</v>
      </c>
      <c r="E51" s="78"/>
      <c r="F51" s="78">
        <v>0</v>
      </c>
      <c r="G51" s="78">
        <v>0</v>
      </c>
      <c r="H51" s="78">
        <v>0</v>
      </c>
      <c r="I51" s="78">
        <v>0</v>
      </c>
      <c r="J51" s="162">
        <v>0</v>
      </c>
      <c r="K51" s="89"/>
      <c r="L51" s="89"/>
      <c r="M51" s="89"/>
      <c r="N51" s="78">
        <v>0</v>
      </c>
      <c r="O51" s="89"/>
      <c r="P51" s="125"/>
      <c r="Q51" s="125"/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163">
        <v>0</v>
      </c>
    </row>
    <row r="52" spans="1:24" ht="20" customHeight="1">
      <c r="A52" s="13"/>
      <c r="B52" s="62" t="s">
        <v>64</v>
      </c>
      <c r="C52" s="94">
        <v>119</v>
      </c>
      <c r="D52" s="78">
        <v>1592</v>
      </c>
      <c r="E52" s="78">
        <v>2584</v>
      </c>
      <c r="F52" s="78">
        <v>849</v>
      </c>
      <c r="G52" s="78">
        <v>0</v>
      </c>
      <c r="H52" s="78">
        <v>0</v>
      </c>
      <c r="I52" s="78">
        <v>0</v>
      </c>
      <c r="J52" s="162">
        <v>849</v>
      </c>
      <c r="K52" s="89">
        <f>1938-388</f>
        <v>1550</v>
      </c>
      <c r="L52" s="89">
        <f>2197-388</f>
        <v>1809</v>
      </c>
      <c r="M52" s="89">
        <f>1422-388</f>
        <v>1034</v>
      </c>
      <c r="N52" s="78">
        <v>0</v>
      </c>
      <c r="O52" s="89">
        <f>1112-475</f>
        <v>637</v>
      </c>
      <c r="P52" s="89">
        <v>1216</v>
      </c>
      <c r="Q52" s="89">
        <v>153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96</v>
      </c>
      <c r="X52" s="163">
        <v>415</v>
      </c>
    </row>
    <row r="53" spans="1:24" ht="20" customHeight="1">
      <c r="A53" s="13"/>
      <c r="B53" s="62" t="s">
        <v>65</v>
      </c>
      <c r="C53" s="94">
        <v>146</v>
      </c>
      <c r="D53" s="78">
        <v>146</v>
      </c>
      <c r="E53" s="78">
        <v>177</v>
      </c>
      <c r="F53" s="78">
        <v>146</v>
      </c>
      <c r="G53" s="78">
        <v>258</v>
      </c>
      <c r="H53" s="78">
        <v>555</v>
      </c>
      <c r="I53" s="78">
        <v>555</v>
      </c>
      <c r="J53" s="162">
        <v>146</v>
      </c>
      <c r="K53" s="89">
        <v>146</v>
      </c>
      <c r="L53" s="89">
        <v>146</v>
      </c>
      <c r="M53" s="89">
        <v>146</v>
      </c>
      <c r="N53" s="78">
        <v>258</v>
      </c>
      <c r="O53" s="89">
        <v>258</v>
      </c>
      <c r="P53" s="125">
        <v>258</v>
      </c>
      <c r="Q53" s="125">
        <v>258</v>
      </c>
      <c r="R53" s="78">
        <v>555</v>
      </c>
      <c r="S53" s="78">
        <v>1093</v>
      </c>
      <c r="T53" s="78">
        <v>555</v>
      </c>
      <c r="U53" s="78">
        <v>555</v>
      </c>
      <c r="V53" s="78">
        <v>555</v>
      </c>
      <c r="W53" s="78">
        <v>555</v>
      </c>
      <c r="X53" s="163">
        <v>555</v>
      </c>
    </row>
    <row r="54" spans="1:24" ht="20" customHeight="1">
      <c r="A54" s="13"/>
      <c r="B54" s="62" t="s">
        <v>66</v>
      </c>
      <c r="C54" s="94">
        <v>4299</v>
      </c>
      <c r="D54" s="78">
        <v>4824</v>
      </c>
      <c r="E54" s="78">
        <v>6267</v>
      </c>
      <c r="F54" s="78">
        <v>5875</v>
      </c>
      <c r="G54" s="78">
        <v>5614</v>
      </c>
      <c r="H54" s="78">
        <v>4539</v>
      </c>
      <c r="I54" s="78">
        <v>3953</v>
      </c>
      <c r="J54" s="162">
        <v>5875</v>
      </c>
      <c r="K54" s="89">
        <f>6047-576</f>
        <v>5471</v>
      </c>
      <c r="L54" s="89">
        <f>6446-576-278</f>
        <v>5592</v>
      </c>
      <c r="M54" s="89">
        <f>6418-576-278</f>
        <v>5564</v>
      </c>
      <c r="N54" s="78">
        <v>5614</v>
      </c>
      <c r="O54" s="89">
        <f>6492-919</f>
        <v>5573</v>
      </c>
      <c r="P54" s="125">
        <v>4670</v>
      </c>
      <c r="Q54" s="125">
        <v>4692</v>
      </c>
      <c r="R54" s="78">
        <v>4539</v>
      </c>
      <c r="S54" s="78">
        <v>4415</v>
      </c>
      <c r="T54" s="78">
        <v>4279</v>
      </c>
      <c r="U54" s="78">
        <v>4112</v>
      </c>
      <c r="V54" s="78">
        <v>3953</v>
      </c>
      <c r="W54" s="78">
        <v>3917</v>
      </c>
      <c r="X54" s="163">
        <v>3928</v>
      </c>
    </row>
    <row r="55" spans="1:24" ht="20" customHeight="1">
      <c r="A55" s="13"/>
      <c r="B55" s="62" t="s">
        <v>107</v>
      </c>
      <c r="C55" s="94">
        <v>0</v>
      </c>
      <c r="D55" s="78">
        <v>0</v>
      </c>
      <c r="E55" s="78">
        <v>0</v>
      </c>
      <c r="F55" s="78">
        <f>14275</f>
        <v>14275</v>
      </c>
      <c r="G55" s="78">
        <f>19959</f>
        <v>19959</v>
      </c>
      <c r="H55" s="78">
        <f>22916</f>
        <v>22916</v>
      </c>
      <c r="I55" s="78">
        <v>16870</v>
      </c>
      <c r="J55" s="162">
        <f>14275</f>
        <v>14275</v>
      </c>
      <c r="K55" s="89">
        <f>21831</f>
        <v>21831</v>
      </c>
      <c r="L55" s="89">
        <f>24039</f>
        <v>24039</v>
      </c>
      <c r="M55" s="89">
        <f>22696</f>
        <v>22696</v>
      </c>
      <c r="N55" s="78">
        <f>19959</f>
        <v>19959</v>
      </c>
      <c r="O55" s="89">
        <f>18229</f>
        <v>18229</v>
      </c>
      <c r="P55" s="89">
        <f>22728</f>
        <v>22728</v>
      </c>
      <c r="Q55" s="89">
        <f>21892</f>
        <v>21892</v>
      </c>
      <c r="R55" s="209">
        <v>22916</v>
      </c>
      <c r="S55" s="78">
        <v>20909</v>
      </c>
      <c r="T55" s="78">
        <v>19688</v>
      </c>
      <c r="U55" s="78">
        <v>17423</v>
      </c>
      <c r="V55" s="78">
        <v>16870</v>
      </c>
      <c r="W55" s="78">
        <v>18486</v>
      </c>
      <c r="X55" s="163">
        <v>19287</v>
      </c>
    </row>
    <row r="56" spans="1:24" ht="20" customHeight="1">
      <c r="A56" s="13"/>
      <c r="B56" s="62" t="s">
        <v>67</v>
      </c>
      <c r="C56" s="94">
        <v>14921</v>
      </c>
      <c r="D56" s="78">
        <v>17414</v>
      </c>
      <c r="E56" s="78">
        <v>21778</v>
      </c>
      <c r="F56" s="78">
        <v>0</v>
      </c>
      <c r="G56" s="78">
        <v>0</v>
      </c>
      <c r="H56" s="78">
        <v>0</v>
      </c>
      <c r="I56" s="78">
        <v>0</v>
      </c>
      <c r="J56" s="162">
        <v>0</v>
      </c>
      <c r="K56" s="89">
        <v>0</v>
      </c>
      <c r="L56" s="89">
        <v>0</v>
      </c>
      <c r="M56" s="89">
        <v>0</v>
      </c>
      <c r="N56" s="78">
        <v>0</v>
      </c>
      <c r="O56" s="89">
        <v>0</v>
      </c>
      <c r="P56" s="89">
        <v>0</v>
      </c>
      <c r="Q56" s="89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163">
        <v>0</v>
      </c>
    </row>
    <row r="57" spans="1:24" ht="20" customHeight="1" thickBot="1">
      <c r="A57" s="13"/>
      <c r="B57" s="62" t="s">
        <v>108</v>
      </c>
      <c r="C57" s="94">
        <v>0</v>
      </c>
      <c r="D57" s="78">
        <v>0</v>
      </c>
      <c r="E57" s="78">
        <v>0</v>
      </c>
      <c r="F57" s="78">
        <f>14275-14275</f>
        <v>0</v>
      </c>
      <c r="G57" s="78">
        <f>19959-19959</f>
        <v>0</v>
      </c>
      <c r="H57" s="78">
        <f>22916-22916</f>
        <v>0</v>
      </c>
      <c r="I57" s="78">
        <f>22916-22916</f>
        <v>0</v>
      </c>
      <c r="J57" s="162">
        <f>14275-14275</f>
        <v>0</v>
      </c>
      <c r="K57" s="89">
        <f>26624-4793-21831</f>
        <v>0</v>
      </c>
      <c r="L57" s="89">
        <f>11242+17792-4995-24039</f>
        <v>0</v>
      </c>
      <c r="M57" s="89">
        <f>11121+16776-5201-22696</f>
        <v>0</v>
      </c>
      <c r="N57" s="78">
        <f>19959-19959</f>
        <v>0</v>
      </c>
      <c r="O57" s="89">
        <f>8998+14849-5618-18229</f>
        <v>0</v>
      </c>
      <c r="P57" s="125">
        <f>22728-22728</f>
        <v>0</v>
      </c>
      <c r="Q57" s="125">
        <f>21892-21892</f>
        <v>0</v>
      </c>
      <c r="R57" s="209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163">
        <v>0</v>
      </c>
    </row>
    <row r="58" spans="1:24" ht="20" customHeight="1" thickBot="1">
      <c r="A58" s="13"/>
      <c r="B58" s="114"/>
      <c r="C58" s="82">
        <f>SUM(C50:C57)</f>
        <v>34264</v>
      </c>
      <c r="D58" s="79">
        <f t="shared" ref="D58:O58" si="21">SUM(D50:D57)</f>
        <v>33535</v>
      </c>
      <c r="E58" s="79">
        <f t="shared" si="21"/>
        <v>44961</v>
      </c>
      <c r="F58" s="79">
        <f t="shared" si="21"/>
        <v>91325</v>
      </c>
      <c r="G58" s="79">
        <f t="shared" ref="G58:H58" si="22">SUM(G50:G57)</f>
        <v>72849</v>
      </c>
      <c r="H58" s="79">
        <f t="shared" si="22"/>
        <v>76539</v>
      </c>
      <c r="I58" s="79">
        <f t="shared" si="21"/>
        <v>97528</v>
      </c>
      <c r="J58" s="157">
        <f t="shared" ref="J58" si="23">SUM(J50:J57)</f>
        <v>91325</v>
      </c>
      <c r="K58" s="258">
        <f t="shared" si="21"/>
        <v>93732</v>
      </c>
      <c r="L58" s="258">
        <f t="shared" si="21"/>
        <v>91305</v>
      </c>
      <c r="M58" s="258">
        <f t="shared" si="21"/>
        <v>68329</v>
      </c>
      <c r="N58" s="158">
        <f t="shared" si="21"/>
        <v>72849</v>
      </c>
      <c r="O58" s="158">
        <f t="shared" si="21"/>
        <v>59355</v>
      </c>
      <c r="P58" s="158">
        <f t="shared" ref="P58:U58" si="24">SUM(P50:P57)</f>
        <v>73278</v>
      </c>
      <c r="Q58" s="158">
        <f t="shared" si="24"/>
        <v>77119</v>
      </c>
      <c r="R58" s="158">
        <f t="shared" si="24"/>
        <v>76539</v>
      </c>
      <c r="S58" s="158">
        <f t="shared" si="24"/>
        <v>81988</v>
      </c>
      <c r="T58" s="158">
        <f t="shared" si="24"/>
        <v>93863</v>
      </c>
      <c r="U58" s="158">
        <f t="shared" si="24"/>
        <v>100250</v>
      </c>
      <c r="V58" s="158">
        <f>SUM(V50:V57)</f>
        <v>97528</v>
      </c>
      <c r="W58" s="158">
        <f>SUM(W50:W57)</f>
        <v>101350</v>
      </c>
      <c r="X58" s="159">
        <f>SUM(X50:X57)</f>
        <v>103147</v>
      </c>
    </row>
    <row r="59" spans="1:24" ht="20" customHeight="1">
      <c r="A59" s="13"/>
      <c r="B59" s="62"/>
      <c r="C59" s="32"/>
      <c r="D59" s="28"/>
      <c r="E59" s="28"/>
      <c r="F59" s="28"/>
      <c r="G59" s="88"/>
      <c r="H59" s="88"/>
      <c r="I59" s="88"/>
      <c r="J59" s="201"/>
      <c r="K59" s="152"/>
      <c r="L59" s="146"/>
      <c r="M59" s="146"/>
      <c r="N59" s="88"/>
      <c r="O59" s="86"/>
      <c r="P59" s="86"/>
      <c r="Q59" s="86"/>
      <c r="R59" s="88"/>
      <c r="S59" s="88"/>
      <c r="T59" s="88"/>
      <c r="U59" s="88"/>
      <c r="V59" s="88"/>
      <c r="W59" s="88"/>
      <c r="X59" s="202"/>
    </row>
    <row r="60" spans="1:24" ht="20" customHeight="1">
      <c r="A60" s="12"/>
      <c r="B60" s="61" t="s">
        <v>68</v>
      </c>
      <c r="C60" s="85"/>
      <c r="D60" s="86"/>
      <c r="E60" s="86"/>
      <c r="F60" s="28"/>
      <c r="G60" s="88"/>
      <c r="H60" s="88"/>
      <c r="I60" s="88"/>
      <c r="J60" s="201"/>
      <c r="K60" s="152"/>
      <c r="L60" s="152"/>
      <c r="M60" s="146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202"/>
    </row>
    <row r="61" spans="1:24" ht="20" customHeight="1">
      <c r="A61" s="13"/>
      <c r="B61" s="62" t="s">
        <v>69</v>
      </c>
      <c r="C61" s="94">
        <v>36230</v>
      </c>
      <c r="D61" s="78">
        <v>69965</v>
      </c>
      <c r="E61" s="78">
        <v>68553</v>
      </c>
      <c r="F61" s="78">
        <v>16249</v>
      </c>
      <c r="G61" s="78">
        <v>16049</v>
      </c>
      <c r="H61" s="78">
        <v>11018</v>
      </c>
      <c r="I61" s="78">
        <v>13453</v>
      </c>
      <c r="J61" s="162">
        <v>16249</v>
      </c>
      <c r="K61" s="89">
        <f>24900</f>
        <v>24900</v>
      </c>
      <c r="L61" s="89">
        <f>17922</f>
        <v>17922</v>
      </c>
      <c r="M61" s="89">
        <f>35468</f>
        <v>35468</v>
      </c>
      <c r="N61" s="78">
        <v>16049</v>
      </c>
      <c r="O61" s="89">
        <f>28911</f>
        <v>28911</v>
      </c>
      <c r="P61" s="153">
        <v>24194</v>
      </c>
      <c r="Q61" s="153">
        <v>15682</v>
      </c>
      <c r="R61" s="78">
        <v>11018</v>
      </c>
      <c r="S61" s="78">
        <v>10692</v>
      </c>
      <c r="T61" s="78">
        <v>12347</v>
      </c>
      <c r="U61" s="78">
        <v>13208</v>
      </c>
      <c r="V61" s="78">
        <v>13453</v>
      </c>
      <c r="W61" s="78">
        <v>15985</v>
      </c>
      <c r="X61" s="163">
        <v>12901</v>
      </c>
    </row>
    <row r="62" spans="1:24" ht="20" customHeight="1">
      <c r="A62" s="13"/>
      <c r="B62" s="62" t="s">
        <v>84</v>
      </c>
      <c r="C62" s="94">
        <v>55741</v>
      </c>
      <c r="D62" s="78">
        <v>61207</v>
      </c>
      <c r="E62" s="78">
        <v>63642</v>
      </c>
      <c r="F62" s="78">
        <v>64440</v>
      </c>
      <c r="G62" s="78">
        <v>69652</v>
      </c>
      <c r="H62" s="78">
        <v>65109</v>
      </c>
      <c r="I62" s="78">
        <v>98479</v>
      </c>
      <c r="J62" s="162">
        <v>64440</v>
      </c>
      <c r="K62" s="89">
        <f>63428-1252-6372</f>
        <v>55804</v>
      </c>
      <c r="L62" s="89">
        <f>75753-1847-10107</f>
        <v>63799</v>
      </c>
      <c r="M62" s="89">
        <f>68850+8797-13658</f>
        <v>63989</v>
      </c>
      <c r="N62" s="78">
        <v>69652</v>
      </c>
      <c r="O62" s="89">
        <f>76856+10880-21574</f>
        <v>66162</v>
      </c>
      <c r="P62" s="153">
        <f>73013+16775-24777</f>
        <v>65011</v>
      </c>
      <c r="Q62" s="153">
        <f>60338+22704-24777</f>
        <v>58265</v>
      </c>
      <c r="R62" s="78">
        <v>65109</v>
      </c>
      <c r="S62" s="78">
        <v>72226</v>
      </c>
      <c r="T62" s="78">
        <v>75807</v>
      </c>
      <c r="U62" s="78">
        <v>80920</v>
      </c>
      <c r="V62" s="78">
        <v>98479</v>
      </c>
      <c r="W62" s="78">
        <v>103207</v>
      </c>
      <c r="X62" s="163">
        <v>141812</v>
      </c>
    </row>
    <row r="63" spans="1:24" ht="20" customHeight="1">
      <c r="A63" s="13"/>
      <c r="B63" s="62" t="s">
        <v>163</v>
      </c>
      <c r="C63" s="94">
        <v>0</v>
      </c>
      <c r="D63" s="78">
        <v>0</v>
      </c>
      <c r="E63" s="78">
        <v>0</v>
      </c>
      <c r="F63" s="78">
        <v>10821</v>
      </c>
      <c r="G63" s="78">
        <v>5895</v>
      </c>
      <c r="H63" s="78">
        <v>9933</v>
      </c>
      <c r="I63" s="78">
        <v>12970</v>
      </c>
      <c r="J63" s="162">
        <v>10821</v>
      </c>
      <c r="K63" s="89">
        <f>1252+6372</f>
        <v>7624</v>
      </c>
      <c r="L63" s="89">
        <f>1847+10107</f>
        <v>11954</v>
      </c>
      <c r="M63" s="89">
        <f>-8797+13658</f>
        <v>4861</v>
      </c>
      <c r="N63" s="78">
        <v>5895</v>
      </c>
      <c r="O63" s="89">
        <f>-10880+21574</f>
        <v>10694</v>
      </c>
      <c r="P63" s="153">
        <f>-16775+24777</f>
        <v>8002</v>
      </c>
      <c r="Q63" s="153">
        <f>-22704+24777</f>
        <v>2073</v>
      </c>
      <c r="R63" s="78">
        <v>9933</v>
      </c>
      <c r="S63" s="78">
        <v>16104</v>
      </c>
      <c r="T63" s="78">
        <v>21905</v>
      </c>
      <c r="U63" s="78">
        <v>12772</v>
      </c>
      <c r="V63" s="78">
        <v>12970</v>
      </c>
      <c r="W63" s="78">
        <v>20953</v>
      </c>
      <c r="X63" s="163">
        <v>7296</v>
      </c>
    </row>
    <row r="64" spans="1:24" ht="20" customHeight="1">
      <c r="A64" s="13"/>
      <c r="B64" s="62" t="s">
        <v>86</v>
      </c>
      <c r="C64" s="94">
        <v>142</v>
      </c>
      <c r="D64" s="78">
        <v>282</v>
      </c>
      <c r="E64" s="78">
        <v>900</v>
      </c>
      <c r="F64" s="78">
        <v>413</v>
      </c>
      <c r="G64" s="78">
        <v>1255</v>
      </c>
      <c r="H64" s="78">
        <v>660</v>
      </c>
      <c r="I64" s="78">
        <v>1570</v>
      </c>
      <c r="J64" s="162">
        <v>413</v>
      </c>
      <c r="K64" s="89">
        <f>1904</f>
        <v>1904</v>
      </c>
      <c r="L64" s="125">
        <f>1529</f>
        <v>1529</v>
      </c>
      <c r="M64" s="89">
        <v>1313</v>
      </c>
      <c r="N64" s="78">
        <v>1255</v>
      </c>
      <c r="O64" s="89">
        <f>1426</f>
        <v>1426</v>
      </c>
      <c r="P64" s="89">
        <v>767</v>
      </c>
      <c r="Q64" s="89">
        <v>580</v>
      </c>
      <c r="R64" s="78">
        <v>660</v>
      </c>
      <c r="S64" s="78">
        <v>663</v>
      </c>
      <c r="T64" s="78">
        <v>239</v>
      </c>
      <c r="U64" s="78">
        <v>1169</v>
      </c>
      <c r="V64" s="78">
        <v>1570</v>
      </c>
      <c r="W64" s="78">
        <v>1737</v>
      </c>
      <c r="X64" s="163">
        <v>1331</v>
      </c>
    </row>
    <row r="65" spans="1:24" ht="20" customHeight="1">
      <c r="A65" s="12"/>
      <c r="B65" s="62" t="s">
        <v>85</v>
      </c>
      <c r="C65" s="94">
        <v>0</v>
      </c>
      <c r="D65" s="78">
        <v>4</v>
      </c>
      <c r="E65" s="78">
        <v>12</v>
      </c>
      <c r="F65" s="78">
        <v>17</v>
      </c>
      <c r="G65" s="78">
        <v>52</v>
      </c>
      <c r="H65" s="78">
        <v>35</v>
      </c>
      <c r="I65" s="78">
        <v>156</v>
      </c>
      <c r="J65" s="162">
        <v>17</v>
      </c>
      <c r="K65" s="89">
        <v>7</v>
      </c>
      <c r="L65" s="89">
        <v>43</v>
      </c>
      <c r="M65" s="89">
        <v>8</v>
      </c>
      <c r="N65" s="78">
        <v>52</v>
      </c>
      <c r="O65" s="89">
        <v>7</v>
      </c>
      <c r="P65" s="125">
        <v>7</v>
      </c>
      <c r="Q65" s="125">
        <v>90</v>
      </c>
      <c r="R65" s="78">
        <v>35</v>
      </c>
      <c r="S65" s="78">
        <v>44</v>
      </c>
      <c r="T65" s="78">
        <v>45</v>
      </c>
      <c r="U65" s="78">
        <v>53</v>
      </c>
      <c r="V65" s="78">
        <v>156</v>
      </c>
      <c r="W65" s="78">
        <v>92</v>
      </c>
      <c r="X65" s="163">
        <v>121</v>
      </c>
    </row>
    <row r="66" spans="1:24" ht="20" customHeight="1">
      <c r="A66" s="12"/>
      <c r="B66" s="62" t="s">
        <v>65</v>
      </c>
      <c r="C66" s="94">
        <v>1300</v>
      </c>
      <c r="D66" s="78">
        <v>1255</v>
      </c>
      <c r="E66" s="78">
        <v>2381</v>
      </c>
      <c r="F66" s="78">
        <v>2821</v>
      </c>
      <c r="G66" s="78">
        <v>2627</v>
      </c>
      <c r="H66" s="78">
        <v>3118</v>
      </c>
      <c r="I66" s="78">
        <v>3504</v>
      </c>
      <c r="J66" s="162">
        <v>2821</v>
      </c>
      <c r="K66" s="89">
        <f>1476+1208</f>
        <v>2684</v>
      </c>
      <c r="L66" s="89">
        <f>1605+1208</f>
        <v>2813</v>
      </c>
      <c r="M66" s="89">
        <f>1468+1208</f>
        <v>2676</v>
      </c>
      <c r="N66" s="78">
        <v>2627</v>
      </c>
      <c r="O66" s="89">
        <f>2490+1024</f>
        <v>3514</v>
      </c>
      <c r="P66" s="125">
        <f>2468+1024</f>
        <v>3492</v>
      </c>
      <c r="Q66" s="125">
        <f>2137+1024</f>
        <v>3161</v>
      </c>
      <c r="R66" s="78">
        <v>3118</v>
      </c>
      <c r="S66" s="78">
        <v>2559</v>
      </c>
      <c r="T66" s="78">
        <v>3097</v>
      </c>
      <c r="U66" s="78">
        <v>3080</v>
      </c>
      <c r="V66" s="78">
        <v>3504</v>
      </c>
      <c r="W66" s="78">
        <v>3464</v>
      </c>
      <c r="X66" s="163">
        <v>3452</v>
      </c>
    </row>
    <row r="67" spans="1:24" ht="20" customHeight="1">
      <c r="A67" s="12"/>
      <c r="B67" s="62" t="s">
        <v>66</v>
      </c>
      <c r="C67" s="94">
        <v>630</v>
      </c>
      <c r="D67" s="78">
        <v>871</v>
      </c>
      <c r="E67" s="78">
        <v>634</v>
      </c>
      <c r="F67" s="78">
        <v>634</v>
      </c>
      <c r="G67" s="78">
        <v>636</v>
      </c>
      <c r="H67" s="78">
        <v>1230</v>
      </c>
      <c r="I67" s="78">
        <v>1240</v>
      </c>
      <c r="J67" s="162">
        <v>634</v>
      </c>
      <c r="K67" s="89">
        <v>778</v>
      </c>
      <c r="L67" s="89">
        <v>634</v>
      </c>
      <c r="M67" s="89">
        <v>792</v>
      </c>
      <c r="N67" s="78">
        <v>636</v>
      </c>
      <c r="O67" s="89">
        <v>636</v>
      </c>
      <c r="P67" s="125">
        <v>1232</v>
      </c>
      <c r="Q67" s="125">
        <v>1382</v>
      </c>
      <c r="R67" s="78">
        <v>1230</v>
      </c>
      <c r="S67" s="78">
        <v>1230</v>
      </c>
      <c r="T67" s="78">
        <v>1230</v>
      </c>
      <c r="U67" s="78">
        <v>1529</v>
      </c>
      <c r="V67" s="78">
        <v>1240</v>
      </c>
      <c r="W67" s="78">
        <v>1554</v>
      </c>
      <c r="X67" s="163">
        <v>1393</v>
      </c>
    </row>
    <row r="68" spans="1:24" ht="20" customHeight="1">
      <c r="A68" s="12"/>
      <c r="B68" s="62" t="s">
        <v>107</v>
      </c>
      <c r="C68" s="94">
        <v>0</v>
      </c>
      <c r="D68" s="78">
        <v>0</v>
      </c>
      <c r="E68" s="78">
        <v>0</v>
      </c>
      <c r="F68" s="78">
        <v>4434</v>
      </c>
      <c r="G68" s="78">
        <v>6548</v>
      </c>
      <c r="H68" s="78">
        <v>7821</v>
      </c>
      <c r="I68" s="78">
        <v>10116</v>
      </c>
      <c r="J68" s="162">
        <f>4434</f>
        <v>4434</v>
      </c>
      <c r="K68" s="89">
        <f>6628</f>
        <v>6628</v>
      </c>
      <c r="L68" s="89">
        <f>6406</f>
        <v>6406</v>
      </c>
      <c r="M68" s="89">
        <f>6270</f>
        <v>6270</v>
      </c>
      <c r="N68" s="78">
        <f>6548</f>
        <v>6548</v>
      </c>
      <c r="O68" s="89">
        <f>6641</f>
        <v>6641</v>
      </c>
      <c r="P68" s="125">
        <f>6830</f>
        <v>6830</v>
      </c>
      <c r="Q68" s="125">
        <f>6206</f>
        <v>6206</v>
      </c>
      <c r="R68" s="209">
        <v>7821</v>
      </c>
      <c r="S68" s="78">
        <v>7413</v>
      </c>
      <c r="T68" s="78">
        <v>6700</v>
      </c>
      <c r="U68" s="78">
        <v>7654</v>
      </c>
      <c r="V68" s="78">
        <v>10116</v>
      </c>
      <c r="W68" s="78">
        <v>7711</v>
      </c>
      <c r="X68" s="163">
        <v>8188</v>
      </c>
    </row>
    <row r="69" spans="1:24" ht="20" customHeight="1">
      <c r="A69" s="7"/>
      <c r="B69" s="62" t="s">
        <v>67</v>
      </c>
      <c r="C69" s="94">
        <v>2873</v>
      </c>
      <c r="D69" s="78">
        <v>2912</v>
      </c>
      <c r="E69" s="78">
        <v>4113</v>
      </c>
      <c r="F69" s="78">
        <v>0</v>
      </c>
      <c r="G69" s="78">
        <v>0</v>
      </c>
      <c r="H69" s="78">
        <v>0</v>
      </c>
      <c r="I69" s="78">
        <v>0</v>
      </c>
      <c r="J69" s="162">
        <v>0</v>
      </c>
      <c r="K69" s="89">
        <v>0</v>
      </c>
      <c r="L69" s="89">
        <v>0</v>
      </c>
      <c r="M69" s="89">
        <v>0</v>
      </c>
      <c r="N69" s="78">
        <v>0</v>
      </c>
      <c r="O69" s="89">
        <v>0</v>
      </c>
      <c r="P69" s="125">
        <v>0</v>
      </c>
      <c r="Q69" s="125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163">
        <v>0</v>
      </c>
    </row>
    <row r="70" spans="1:24" ht="20" customHeight="1" thickBot="1">
      <c r="A70" s="7"/>
      <c r="B70" s="62" t="s">
        <v>108</v>
      </c>
      <c r="C70" s="94">
        <v>0</v>
      </c>
      <c r="D70" s="78">
        <v>0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162">
        <f>4434-4434</f>
        <v>0</v>
      </c>
      <c r="K70" s="89">
        <f>6628-6628</f>
        <v>0</v>
      </c>
      <c r="L70" s="89">
        <f>2008+4398-6406</f>
        <v>0</v>
      </c>
      <c r="M70" s="96">
        <f>1950+4320-6270</f>
        <v>0</v>
      </c>
      <c r="N70" s="78">
        <f>6548-6548</f>
        <v>0</v>
      </c>
      <c r="O70" s="89">
        <f>2346+4295-6641</f>
        <v>0</v>
      </c>
      <c r="P70" s="89">
        <f>6830-6830</f>
        <v>0</v>
      </c>
      <c r="Q70" s="89">
        <f>6206-6206</f>
        <v>0</v>
      </c>
      <c r="R70" s="209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163">
        <v>0</v>
      </c>
    </row>
    <row r="71" spans="1:24" ht="20" customHeight="1" thickBot="1">
      <c r="A71" s="7"/>
      <c r="B71" s="35"/>
      <c r="C71" s="82">
        <f>SUM(C61:C70)</f>
        <v>96916</v>
      </c>
      <c r="D71" s="79">
        <f t="shared" ref="D71:O71" si="25">SUM(D61:D70)</f>
        <v>136496</v>
      </c>
      <c r="E71" s="79">
        <f t="shared" si="25"/>
        <v>140235</v>
      </c>
      <c r="F71" s="79">
        <f t="shared" si="25"/>
        <v>99829</v>
      </c>
      <c r="G71" s="79">
        <f t="shared" ref="G71:H71" si="26">SUM(G61:G70)</f>
        <v>102714</v>
      </c>
      <c r="H71" s="79">
        <f t="shared" si="26"/>
        <v>98924</v>
      </c>
      <c r="I71" s="79">
        <f t="shared" si="25"/>
        <v>141488</v>
      </c>
      <c r="J71" s="157">
        <f t="shared" ref="J71" si="27">SUM(J61:J70)</f>
        <v>99829</v>
      </c>
      <c r="K71" s="258">
        <f t="shared" si="25"/>
        <v>100329</v>
      </c>
      <c r="L71" s="258">
        <f t="shared" si="25"/>
        <v>105100</v>
      </c>
      <c r="M71" s="258">
        <f t="shared" si="25"/>
        <v>115377</v>
      </c>
      <c r="N71" s="158">
        <f t="shared" si="25"/>
        <v>102714</v>
      </c>
      <c r="O71" s="158">
        <f t="shared" si="25"/>
        <v>117991</v>
      </c>
      <c r="P71" s="158">
        <f t="shared" ref="P71:U71" si="28">SUM(P61:P70)</f>
        <v>109535</v>
      </c>
      <c r="Q71" s="158">
        <f t="shared" si="28"/>
        <v>87439</v>
      </c>
      <c r="R71" s="158">
        <f t="shared" si="28"/>
        <v>98924</v>
      </c>
      <c r="S71" s="158">
        <f t="shared" si="28"/>
        <v>110931</v>
      </c>
      <c r="T71" s="158">
        <f t="shared" si="28"/>
        <v>121370</v>
      </c>
      <c r="U71" s="158">
        <f t="shared" si="28"/>
        <v>120385</v>
      </c>
      <c r="V71" s="158">
        <f>SUM(V61:V70)</f>
        <v>141488</v>
      </c>
      <c r="W71" s="158">
        <f>SUM(W61:W70)</f>
        <v>154703</v>
      </c>
      <c r="X71" s="159">
        <f>SUM(X61:X70)</f>
        <v>176494</v>
      </c>
    </row>
    <row r="72" spans="1:24" ht="20" customHeight="1" thickBot="1">
      <c r="A72" s="7"/>
      <c r="B72" s="64"/>
      <c r="C72" s="32"/>
      <c r="D72" s="28"/>
      <c r="E72" s="27"/>
      <c r="F72" s="28"/>
      <c r="G72" s="91"/>
      <c r="H72" s="91"/>
      <c r="I72" s="91"/>
      <c r="J72" s="201"/>
      <c r="K72" s="90"/>
      <c r="L72" s="152"/>
      <c r="M72" s="91"/>
      <c r="N72" s="91"/>
      <c r="O72" s="88"/>
      <c r="P72" s="88"/>
      <c r="Q72" s="88"/>
      <c r="R72" s="91"/>
      <c r="S72" s="91"/>
      <c r="T72" s="91"/>
      <c r="U72" s="91"/>
      <c r="V72" s="91"/>
      <c r="W72" s="91"/>
      <c r="X72" s="203"/>
    </row>
    <row r="73" spans="1:24" ht="20" customHeight="1" thickBot="1">
      <c r="A73" s="7"/>
      <c r="B73" s="115" t="s">
        <v>87</v>
      </c>
      <c r="C73" s="82">
        <f>SUM(C71+C58+C47)</f>
        <v>254616</v>
      </c>
      <c r="D73" s="79">
        <f t="shared" ref="D73:O73" si="29">SUM(D71+D58+D47)</f>
        <v>285603</v>
      </c>
      <c r="E73" s="79">
        <f t="shared" si="29"/>
        <v>316274</v>
      </c>
      <c r="F73" s="79">
        <f t="shared" si="29"/>
        <v>314948</v>
      </c>
      <c r="G73" s="79">
        <f t="shared" ref="G73:H73" si="30">SUM(G71+G58+G47)</f>
        <v>321890</v>
      </c>
      <c r="H73" s="79">
        <f t="shared" si="30"/>
        <v>346806</v>
      </c>
      <c r="I73" s="79">
        <f t="shared" si="29"/>
        <v>430713</v>
      </c>
      <c r="J73" s="157">
        <f t="shared" ref="J73" si="31">SUM(J71+J58+J47)</f>
        <v>314948</v>
      </c>
      <c r="K73" s="158">
        <f t="shared" si="29"/>
        <v>321721</v>
      </c>
      <c r="L73" s="158">
        <f t="shared" si="29"/>
        <v>330052</v>
      </c>
      <c r="M73" s="158">
        <f t="shared" si="29"/>
        <v>324927</v>
      </c>
      <c r="N73" s="158">
        <f t="shared" si="29"/>
        <v>321890</v>
      </c>
      <c r="O73" s="158">
        <f t="shared" si="29"/>
        <v>329409</v>
      </c>
      <c r="P73" s="158">
        <f t="shared" ref="P73:V73" si="32">SUM(P71+P58+P47)</f>
        <v>338660</v>
      </c>
      <c r="Q73" s="158">
        <f t="shared" si="32"/>
        <v>331036</v>
      </c>
      <c r="R73" s="158">
        <f t="shared" si="32"/>
        <v>346806</v>
      </c>
      <c r="S73" s="158">
        <f t="shared" si="32"/>
        <v>370555</v>
      </c>
      <c r="T73" s="158">
        <f t="shared" si="32"/>
        <v>398085</v>
      </c>
      <c r="U73" s="158">
        <f t="shared" si="32"/>
        <v>408504</v>
      </c>
      <c r="V73" s="158">
        <f t="shared" si="32"/>
        <v>430713</v>
      </c>
      <c r="W73" s="158">
        <f t="shared" ref="W73:X73" si="33">SUM(W71+W58+W47)</f>
        <v>465837</v>
      </c>
      <c r="X73" s="159">
        <f t="shared" si="33"/>
        <v>491963</v>
      </c>
    </row>
    <row r="74" spans="1:24"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</row>
    <row r="75" spans="1:24"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</sheetData>
  <mergeCells count="4">
    <mergeCell ref="C1:X1"/>
    <mergeCell ref="B5:B6"/>
    <mergeCell ref="C5:I5"/>
    <mergeCell ref="J5:X5"/>
  </mergeCells>
  <pageMargins left="0.70866141732283472" right="0.70866141732283472" top="0.74803149606299213" bottom="0.74803149606299213" header="0.31496062992125984" footer="0.31496062992125984"/>
  <pageSetup paperSize="8" scale="28" orientation="portrait" r:id="rId1"/>
  <rowBreaks count="1" manualBreakCount="1">
    <brk id="73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4"/>
  <sheetViews>
    <sheetView zoomScale="85" zoomScaleNormal="120" workbookViewId="0">
      <pane xSplit="2" ySplit="5" topLeftCell="G31" activePane="bottomRight" state="frozen"/>
      <selection pane="topRight" activeCell="C1" sqref="C1"/>
      <selection pane="bottomLeft" activeCell="A5" sqref="A5"/>
      <selection pane="bottomRight" activeCell="L40" sqref="L40"/>
    </sheetView>
  </sheetViews>
  <sheetFormatPr baseColWidth="10" defaultColWidth="9" defaultRowHeight="14"/>
  <cols>
    <col min="1" max="1" width="3.5" style="10" customWidth="1"/>
    <col min="2" max="2" width="31.5" style="10" customWidth="1"/>
    <col min="3" max="17" width="10.6640625" style="10" customWidth="1"/>
    <col min="18" max="18" width="11.1640625" style="10" customWidth="1"/>
    <col min="19" max="23" width="11.5" style="10" customWidth="1"/>
    <col min="24" max="24" width="13" style="10" customWidth="1"/>
    <col min="25" max="16384" width="9" style="10"/>
  </cols>
  <sheetData>
    <row r="1" spans="1:24" ht="57" customHeight="1">
      <c r="A1" s="7"/>
      <c r="B1" s="17"/>
      <c r="C1" s="300" t="s">
        <v>2</v>
      </c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</row>
    <row r="2" spans="1:24" ht="21" customHeight="1">
      <c r="A2" s="7"/>
      <c r="B2" s="11"/>
      <c r="C2" s="7"/>
      <c r="D2" s="7"/>
      <c r="E2" s="7"/>
      <c r="F2" s="22"/>
      <c r="G2" s="22"/>
      <c r="H2" s="22"/>
      <c r="I2" s="22"/>
      <c r="J2" s="2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" customHeight="1" thickBot="1">
      <c r="A3" s="7"/>
      <c r="B3" s="25"/>
      <c r="C3" s="7"/>
      <c r="D3" s="299"/>
      <c r="E3" s="299"/>
      <c r="F3" s="299"/>
      <c r="G3" s="299"/>
      <c r="H3" s="299"/>
      <c r="I3" s="299"/>
      <c r="J3" s="22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21" customHeight="1" thickBot="1">
      <c r="A4" s="7"/>
      <c r="B4" s="297" t="s">
        <v>11</v>
      </c>
      <c r="C4" s="295" t="s">
        <v>10</v>
      </c>
      <c r="D4" s="296"/>
      <c r="E4" s="296"/>
      <c r="F4" s="296"/>
      <c r="G4" s="296"/>
      <c r="H4" s="296"/>
      <c r="I4" s="296"/>
      <c r="J4" s="292" t="s">
        <v>4</v>
      </c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4"/>
    </row>
    <row r="5" spans="1:24" ht="25" customHeight="1" thickBot="1">
      <c r="A5" s="7"/>
      <c r="B5" s="298"/>
      <c r="C5" s="108" t="s">
        <v>9</v>
      </c>
      <c r="D5" s="109" t="s">
        <v>8</v>
      </c>
      <c r="E5" s="109" t="s">
        <v>7</v>
      </c>
      <c r="F5" s="109" t="s">
        <v>126</v>
      </c>
      <c r="G5" s="136" t="s">
        <v>125</v>
      </c>
      <c r="H5" s="216" t="s">
        <v>157</v>
      </c>
      <c r="I5" s="156" t="s">
        <v>178</v>
      </c>
      <c r="J5" s="191" t="s">
        <v>135</v>
      </c>
      <c r="K5" s="215" t="s">
        <v>138</v>
      </c>
      <c r="L5" s="215" t="s">
        <v>137</v>
      </c>
      <c r="M5" s="215" t="s">
        <v>136</v>
      </c>
      <c r="N5" s="215" t="s">
        <v>149</v>
      </c>
      <c r="O5" s="215" t="s">
        <v>134</v>
      </c>
      <c r="P5" s="215" t="s">
        <v>133</v>
      </c>
      <c r="Q5" s="215" t="s">
        <v>145</v>
      </c>
      <c r="R5" s="215" t="s">
        <v>166</v>
      </c>
      <c r="S5" s="215" t="s">
        <v>169</v>
      </c>
      <c r="T5" s="215" t="s">
        <v>173</v>
      </c>
      <c r="U5" s="215" t="s">
        <v>177</v>
      </c>
      <c r="V5" s="215" t="s">
        <v>185</v>
      </c>
      <c r="W5" s="215" t="s">
        <v>190</v>
      </c>
      <c r="X5" s="193" t="s">
        <v>197</v>
      </c>
    </row>
    <row r="6" spans="1:24" ht="20" customHeight="1">
      <c r="A6" s="7"/>
      <c r="B6" s="51" t="s">
        <v>13</v>
      </c>
      <c r="C6" s="36"/>
      <c r="D6" s="21"/>
      <c r="E6" s="21"/>
      <c r="F6" s="21"/>
      <c r="G6" s="21"/>
      <c r="H6" s="21"/>
      <c r="I6" s="21"/>
      <c r="J6" s="262"/>
      <c r="K6" s="21"/>
      <c r="L6" s="21"/>
      <c r="M6" s="21"/>
      <c r="N6" s="254"/>
      <c r="O6" s="255"/>
      <c r="P6" s="255"/>
      <c r="Q6" s="255"/>
      <c r="R6" s="253"/>
      <c r="S6" s="253"/>
      <c r="T6" s="253"/>
      <c r="U6" s="253"/>
      <c r="V6" s="253"/>
      <c r="W6" s="253"/>
      <c r="X6" s="263"/>
    </row>
    <row r="7" spans="1:24" ht="20" customHeight="1">
      <c r="A7" s="15"/>
      <c r="B7" s="52" t="s">
        <v>14</v>
      </c>
      <c r="C7" s="94">
        <v>231725</v>
      </c>
      <c r="D7" s="78">
        <v>269498</v>
      </c>
      <c r="E7" s="78">
        <v>318467</v>
      </c>
      <c r="F7" s="78">
        <v>370919</v>
      </c>
      <c r="G7" s="78">
        <f>396066</f>
        <v>396066</v>
      </c>
      <c r="H7" s="78">
        <v>386186</v>
      </c>
      <c r="I7" s="78">
        <v>496029</v>
      </c>
      <c r="J7" s="162">
        <f>370919-278375</f>
        <v>92544</v>
      </c>
      <c r="K7" s="89">
        <f>190999-L7</f>
        <v>87305</v>
      </c>
      <c r="L7" s="89">
        <v>103694</v>
      </c>
      <c r="M7" s="89">
        <v>103444</v>
      </c>
      <c r="N7" s="89">
        <f>G7-SUM(K7:M7)</f>
        <v>101623</v>
      </c>
      <c r="O7" s="89">
        <v>92106</v>
      </c>
      <c r="P7" s="89">
        <v>104356</v>
      </c>
      <c r="Q7" s="125">
        <v>96862</v>
      </c>
      <c r="R7" s="78">
        <v>92862</v>
      </c>
      <c r="S7" s="78">
        <v>104847</v>
      </c>
      <c r="T7" s="78">
        <v>125647</v>
      </c>
      <c r="U7" s="78">
        <v>128616</v>
      </c>
      <c r="V7" s="78">
        <v>136919</v>
      </c>
      <c r="W7" s="78">
        <v>135010</v>
      </c>
      <c r="X7" s="163">
        <v>166980</v>
      </c>
    </row>
    <row r="8" spans="1:24" ht="20" customHeight="1" thickBot="1">
      <c r="A8" s="7"/>
      <c r="B8" s="52" t="s">
        <v>15</v>
      </c>
      <c r="C8" s="94">
        <v>168032</v>
      </c>
      <c r="D8" s="78">
        <v>200904</v>
      </c>
      <c r="E8" s="78">
        <v>241905</v>
      </c>
      <c r="F8" s="78">
        <v>276549</v>
      </c>
      <c r="G8" s="78">
        <v>292560</v>
      </c>
      <c r="H8" s="78">
        <v>280973</v>
      </c>
      <c r="I8" s="78">
        <v>379218</v>
      </c>
      <c r="J8" s="162">
        <f>276549-206645</f>
        <v>69904</v>
      </c>
      <c r="K8" s="89">
        <f>139546+5-L8-440+261+876+52</f>
        <v>64047</v>
      </c>
      <c r="L8" s="89">
        <f>75215+13-5+876+731-577</f>
        <v>76253</v>
      </c>
      <c r="M8" s="89">
        <f>76650+876-195+161</f>
        <v>77492</v>
      </c>
      <c r="N8" s="89">
        <f>G8-SUM(K8:M8)</f>
        <v>74768</v>
      </c>
      <c r="O8" s="89">
        <f>65170-1050+1121+890</f>
        <v>66131</v>
      </c>
      <c r="P8" s="89">
        <f>74627-1449+320+890</f>
        <v>74388</v>
      </c>
      <c r="Q8" s="210">
        <v>69638</v>
      </c>
      <c r="R8" s="78">
        <v>70816</v>
      </c>
      <c r="S8" s="78">
        <v>78790</v>
      </c>
      <c r="T8" s="78">
        <v>95032</v>
      </c>
      <c r="U8" s="78">
        <v>99282</v>
      </c>
      <c r="V8" s="78">
        <v>106114</v>
      </c>
      <c r="W8" s="78">
        <v>97842</v>
      </c>
      <c r="X8" s="163">
        <v>126040</v>
      </c>
    </row>
    <row r="9" spans="1:24" ht="20" customHeight="1" thickBot="1">
      <c r="A9" s="7"/>
      <c r="B9" s="51" t="s">
        <v>16</v>
      </c>
      <c r="C9" s="143">
        <f t="shared" ref="C9" si="0">C7-C8</f>
        <v>63693</v>
      </c>
      <c r="D9" s="143">
        <f t="shared" ref="D9" si="1">D7-D8</f>
        <v>68594</v>
      </c>
      <c r="E9" s="143">
        <f t="shared" ref="E9" si="2">E7-E8</f>
        <v>76562</v>
      </c>
      <c r="F9" s="143">
        <f t="shared" ref="F9" si="3">F7-F8</f>
        <v>94370</v>
      </c>
      <c r="G9" s="143">
        <f t="shared" ref="G9:I9" si="4">G7-G8</f>
        <v>103506</v>
      </c>
      <c r="H9" s="143">
        <f t="shared" ref="H9" si="5">H7-H8</f>
        <v>105213</v>
      </c>
      <c r="I9" s="143">
        <f t="shared" si="4"/>
        <v>116811</v>
      </c>
      <c r="J9" s="278">
        <f t="shared" ref="J9:L9" si="6">J7-J8</f>
        <v>22640</v>
      </c>
      <c r="K9" s="279">
        <f t="shared" si="6"/>
        <v>23258</v>
      </c>
      <c r="L9" s="279">
        <f t="shared" si="6"/>
        <v>27441</v>
      </c>
      <c r="M9" s="279">
        <f>M7-M8</f>
        <v>25952</v>
      </c>
      <c r="N9" s="279">
        <f t="shared" ref="N9:V9" si="7">N7-N8</f>
        <v>26855</v>
      </c>
      <c r="O9" s="279">
        <f t="shared" si="7"/>
        <v>25975</v>
      </c>
      <c r="P9" s="279">
        <f t="shared" si="7"/>
        <v>29968</v>
      </c>
      <c r="Q9" s="279">
        <f t="shared" ref="Q9" si="8">Q7-Q8</f>
        <v>27224</v>
      </c>
      <c r="R9" s="279">
        <f t="shared" si="7"/>
        <v>22046</v>
      </c>
      <c r="S9" s="279">
        <f t="shared" si="7"/>
        <v>26057</v>
      </c>
      <c r="T9" s="279">
        <f t="shared" si="7"/>
        <v>30615</v>
      </c>
      <c r="U9" s="279">
        <f t="shared" si="7"/>
        <v>29334</v>
      </c>
      <c r="V9" s="279">
        <f t="shared" si="7"/>
        <v>30805</v>
      </c>
      <c r="W9" s="279">
        <f t="shared" ref="W9:X9" si="9">W7-W8</f>
        <v>37168</v>
      </c>
      <c r="X9" s="280">
        <f t="shared" si="9"/>
        <v>40940</v>
      </c>
    </row>
    <row r="10" spans="1:24" ht="20" customHeight="1">
      <c r="A10" s="7"/>
      <c r="B10" s="53"/>
      <c r="C10" s="32"/>
      <c r="D10" s="28"/>
      <c r="E10" s="28"/>
      <c r="F10" s="28"/>
      <c r="G10" s="28"/>
      <c r="H10" s="28"/>
      <c r="I10" s="28"/>
      <c r="J10" s="164"/>
      <c r="K10" s="86"/>
      <c r="L10" s="65"/>
      <c r="M10" s="65"/>
      <c r="N10" s="65"/>
      <c r="O10" s="86"/>
      <c r="P10" s="86"/>
      <c r="Q10" s="117"/>
      <c r="R10" s="117"/>
      <c r="S10" s="117"/>
      <c r="T10" s="117"/>
      <c r="U10" s="117"/>
      <c r="V10" s="117"/>
      <c r="W10" s="117"/>
      <c r="X10" s="264"/>
    </row>
    <row r="11" spans="1:24" ht="20" customHeight="1">
      <c r="A11" s="7"/>
      <c r="B11" s="52" t="s">
        <v>17</v>
      </c>
      <c r="C11" s="94">
        <v>3588</v>
      </c>
      <c r="D11" s="78">
        <v>3488</v>
      </c>
      <c r="E11" s="78">
        <v>4773</v>
      </c>
      <c r="F11" s="78">
        <v>2546</v>
      </c>
      <c r="G11" s="78">
        <v>3256</v>
      </c>
      <c r="H11" s="78">
        <v>2197</v>
      </c>
      <c r="I11" s="78">
        <v>3631</v>
      </c>
      <c r="J11" s="162">
        <f>2546+343-1884</f>
        <v>1005</v>
      </c>
      <c r="K11" s="89">
        <f>2673-L11-69-440</f>
        <v>1105</v>
      </c>
      <c r="L11" s="89">
        <f>1991+6-361-577</f>
        <v>1059</v>
      </c>
      <c r="M11" s="89">
        <f>634+21-91-195</f>
        <v>369</v>
      </c>
      <c r="N11" s="89">
        <f>G11-SUM(K11:M11)</f>
        <v>723</v>
      </c>
      <c r="O11" s="89">
        <f>1294-65-1050</f>
        <v>179</v>
      </c>
      <c r="P11" s="89">
        <f>2189+141-103-1-190-1449</f>
        <v>587</v>
      </c>
      <c r="Q11" s="125">
        <f>1094+1-209-560</f>
        <v>326</v>
      </c>
      <c r="R11" s="78">
        <v>1105</v>
      </c>
      <c r="S11" s="78">
        <v>1221</v>
      </c>
      <c r="T11" s="78">
        <v>700</v>
      </c>
      <c r="U11" s="78">
        <v>412</v>
      </c>
      <c r="V11" s="78">
        <v>1298</v>
      </c>
      <c r="W11" s="78">
        <v>299</v>
      </c>
      <c r="X11" s="163">
        <v>394</v>
      </c>
    </row>
    <row r="12" spans="1:24" ht="20" customHeight="1">
      <c r="A12" s="7"/>
      <c r="B12" s="52" t="s">
        <v>18</v>
      </c>
      <c r="C12" s="94">
        <v>28593</v>
      </c>
      <c r="D12" s="78">
        <v>36596</v>
      </c>
      <c r="E12" s="78">
        <v>36127</v>
      </c>
      <c r="F12" s="78">
        <v>40257</v>
      </c>
      <c r="G12" s="78">
        <v>40760</v>
      </c>
      <c r="H12" s="78">
        <v>37204</v>
      </c>
      <c r="I12" s="78">
        <v>43662</v>
      </c>
      <c r="J12" s="162">
        <f>40257+2101-29306</f>
        <v>13052</v>
      </c>
      <c r="K12" s="89">
        <f>21397+5-L12-876</f>
        <v>9684</v>
      </c>
      <c r="L12" s="89">
        <f>11714+4-876</f>
        <v>10842</v>
      </c>
      <c r="M12" s="89">
        <f>10457+15-876</f>
        <v>9596</v>
      </c>
      <c r="N12" s="89">
        <f>G12-SUM(K12:M12)</f>
        <v>10638</v>
      </c>
      <c r="O12" s="89">
        <f>9433-890</f>
        <v>8543</v>
      </c>
      <c r="P12" s="89">
        <f>9616+3-890</f>
        <v>8729</v>
      </c>
      <c r="Q12" s="210">
        <v>9322</v>
      </c>
      <c r="R12" s="78">
        <v>10610</v>
      </c>
      <c r="S12" s="78">
        <v>9238</v>
      </c>
      <c r="T12" s="78">
        <v>11347</v>
      </c>
      <c r="U12" s="78">
        <v>11332</v>
      </c>
      <c r="V12" s="78">
        <v>11745</v>
      </c>
      <c r="W12" s="78">
        <v>11211</v>
      </c>
      <c r="X12" s="163">
        <v>13325</v>
      </c>
    </row>
    <row r="13" spans="1:24" ht="20" customHeight="1">
      <c r="A13" s="15"/>
      <c r="B13" s="52" t="s">
        <v>19</v>
      </c>
      <c r="C13" s="94">
        <v>23765</v>
      </c>
      <c r="D13" s="78">
        <v>18119</v>
      </c>
      <c r="E13" s="78">
        <v>21571</v>
      </c>
      <c r="F13" s="78">
        <v>23981</v>
      </c>
      <c r="G13" s="78">
        <v>27459</v>
      </c>
      <c r="H13" s="78">
        <v>26853</v>
      </c>
      <c r="I13" s="78">
        <v>30507</v>
      </c>
      <c r="J13" s="162">
        <f>23981-16855</f>
        <v>7126</v>
      </c>
      <c r="K13" s="89">
        <f>13202-L13</f>
        <v>6003</v>
      </c>
      <c r="L13" s="89">
        <v>7199</v>
      </c>
      <c r="M13" s="89">
        <v>6537</v>
      </c>
      <c r="N13" s="89">
        <f>G13-SUM(K13:M13)</f>
        <v>7720</v>
      </c>
      <c r="O13" s="89">
        <v>6320</v>
      </c>
      <c r="P13" s="89">
        <v>6588</v>
      </c>
      <c r="Q13" s="125">
        <f>6923</f>
        <v>6923</v>
      </c>
      <c r="R13" s="78">
        <v>7022</v>
      </c>
      <c r="S13" s="78">
        <v>6800</v>
      </c>
      <c r="T13" s="78">
        <v>7620</v>
      </c>
      <c r="U13" s="78">
        <v>7647</v>
      </c>
      <c r="V13" s="78">
        <v>8440</v>
      </c>
      <c r="W13" s="78">
        <v>8722</v>
      </c>
      <c r="X13" s="163">
        <v>9346</v>
      </c>
    </row>
    <row r="14" spans="1:24" ht="20" customHeight="1">
      <c r="A14" s="7"/>
      <c r="B14" s="52" t="s">
        <v>20</v>
      </c>
      <c r="C14" s="94">
        <v>2823</v>
      </c>
      <c r="D14" s="78">
        <v>6316</v>
      </c>
      <c r="E14" s="78">
        <v>5322</v>
      </c>
      <c r="F14" s="78">
        <v>7727</v>
      </c>
      <c r="G14" s="78">
        <v>2051</v>
      </c>
      <c r="H14" s="78">
        <v>3733</v>
      </c>
      <c r="I14" s="78">
        <v>1966</v>
      </c>
      <c r="J14" s="162">
        <f>7727+2041-3360</f>
        <v>6408</v>
      </c>
      <c r="K14" s="89">
        <f>2224+79-L14-407-261</f>
        <v>1224</v>
      </c>
      <c r="L14" s="89">
        <f>1457+20-335-731</f>
        <v>411</v>
      </c>
      <c r="M14" s="89">
        <f>617+9-300-161</f>
        <v>165</v>
      </c>
      <c r="N14" s="89">
        <f>G14-SUM(K14:M14)</f>
        <v>251</v>
      </c>
      <c r="O14" s="89">
        <f>1751-126-1121</f>
        <v>504</v>
      </c>
      <c r="P14" s="89">
        <f>2774-2+1-601-320</f>
        <v>1852</v>
      </c>
      <c r="Q14" s="125">
        <f>895+1-35-291</f>
        <v>570</v>
      </c>
      <c r="R14" s="78">
        <v>807</v>
      </c>
      <c r="S14" s="78">
        <v>186</v>
      </c>
      <c r="T14" s="78">
        <v>545</v>
      </c>
      <c r="U14" s="78">
        <v>581</v>
      </c>
      <c r="V14" s="78">
        <v>654</v>
      </c>
      <c r="W14" s="78">
        <v>260</v>
      </c>
      <c r="X14" s="163">
        <v>555</v>
      </c>
    </row>
    <row r="15" spans="1:24" ht="20" customHeight="1" thickBot="1">
      <c r="A15" s="7"/>
      <c r="B15" s="52" t="s">
        <v>165</v>
      </c>
      <c r="C15" s="78">
        <v>0</v>
      </c>
      <c r="D15" s="78">
        <v>0</v>
      </c>
      <c r="E15" s="78">
        <v>0</v>
      </c>
      <c r="F15" s="78">
        <v>0</v>
      </c>
      <c r="G15" s="78">
        <v>-2931</v>
      </c>
      <c r="H15" s="78">
        <v>-1653</v>
      </c>
      <c r="I15" s="78">
        <v>-273</v>
      </c>
      <c r="J15" s="162">
        <v>0</v>
      </c>
      <c r="K15" s="89">
        <f>69-407</f>
        <v>-338</v>
      </c>
      <c r="L15" s="89">
        <f>361-335</f>
        <v>26</v>
      </c>
      <c r="M15" s="89">
        <f>91-300</f>
        <v>-209</v>
      </c>
      <c r="N15" s="78">
        <f>G15-SUM(K15:M15)</f>
        <v>-2410</v>
      </c>
      <c r="O15" s="89">
        <f>65-126</f>
        <v>-61</v>
      </c>
      <c r="P15" s="89">
        <f>190-601</f>
        <v>-411</v>
      </c>
      <c r="Q15" s="125">
        <f>209-35</f>
        <v>174</v>
      </c>
      <c r="R15" s="78">
        <v>-1355</v>
      </c>
      <c r="S15" s="78">
        <v>85</v>
      </c>
      <c r="T15" s="78">
        <v>86</v>
      </c>
      <c r="U15" s="78">
        <v>19</v>
      </c>
      <c r="V15" s="78">
        <v>-463</v>
      </c>
      <c r="W15" s="78">
        <v>-351</v>
      </c>
      <c r="X15" s="163">
        <v>-6</v>
      </c>
    </row>
    <row r="16" spans="1:24" ht="20" customHeight="1" thickBot="1">
      <c r="A16" s="7"/>
      <c r="B16" s="51" t="s">
        <v>21</v>
      </c>
      <c r="C16" s="143">
        <f>C9+C11-C12-C13-C14</f>
        <v>12100</v>
      </c>
      <c r="D16" s="143">
        <f>D9+D11-D12-D13-D14</f>
        <v>11051</v>
      </c>
      <c r="E16" s="143">
        <f>E9+E11-E12-E13-E14</f>
        <v>18315</v>
      </c>
      <c r="F16" s="143">
        <f>F9+F11-F12-F13-F14</f>
        <v>24951</v>
      </c>
      <c r="G16" s="143">
        <f>G9+G11-G12-G13-G14+G15</f>
        <v>33561</v>
      </c>
      <c r="H16" s="143">
        <f>H9+H11-H12-H13-H14+H15</f>
        <v>37967</v>
      </c>
      <c r="I16" s="143">
        <f>I9+I11-I12-I13-I14+I15</f>
        <v>44034</v>
      </c>
      <c r="J16" s="278">
        <f>J9+J11-J12-J13-J14</f>
        <v>-2941</v>
      </c>
      <c r="K16" s="279">
        <f>K9+K11-K12-K13-K14+K15</f>
        <v>7114</v>
      </c>
      <c r="L16" s="279">
        <f t="shared" ref="L16:V16" si="10">L9+L11-L12-L13-L14+L15</f>
        <v>10074</v>
      </c>
      <c r="M16" s="279">
        <f t="shared" si="10"/>
        <v>9814</v>
      </c>
      <c r="N16" s="279">
        <f t="shared" si="10"/>
        <v>6559</v>
      </c>
      <c r="O16" s="279">
        <f t="shared" si="10"/>
        <v>10726</v>
      </c>
      <c r="P16" s="279">
        <f t="shared" si="10"/>
        <v>12975</v>
      </c>
      <c r="Q16" s="279">
        <f t="shared" si="10"/>
        <v>10909</v>
      </c>
      <c r="R16" s="279">
        <f t="shared" si="10"/>
        <v>3357</v>
      </c>
      <c r="S16" s="279">
        <f t="shared" si="10"/>
        <v>11139</v>
      </c>
      <c r="T16" s="279">
        <f t="shared" si="10"/>
        <v>11889</v>
      </c>
      <c r="U16" s="279">
        <f t="shared" si="10"/>
        <v>10205</v>
      </c>
      <c r="V16" s="279">
        <f t="shared" si="10"/>
        <v>10801</v>
      </c>
      <c r="W16" s="279">
        <f t="shared" ref="W16:X16" si="11">W9+W11-W12-W13-W14+W15</f>
        <v>16923</v>
      </c>
      <c r="X16" s="280">
        <f t="shared" si="11"/>
        <v>18102</v>
      </c>
    </row>
    <row r="17" spans="1:24" ht="20" customHeight="1">
      <c r="A17" s="7"/>
      <c r="B17" s="53"/>
      <c r="C17" s="32"/>
      <c r="D17" s="28"/>
      <c r="E17" s="28"/>
      <c r="F17" s="28"/>
      <c r="G17" s="28"/>
      <c r="H17" s="28"/>
      <c r="I17" s="28"/>
      <c r="J17" s="164"/>
      <c r="K17" s="86"/>
      <c r="L17" s="65"/>
      <c r="M17" s="65"/>
      <c r="N17" s="65"/>
      <c r="O17" s="86"/>
      <c r="P17" s="86"/>
      <c r="Q17" s="117"/>
      <c r="R17" s="117"/>
      <c r="S17" s="117"/>
      <c r="T17" s="117"/>
      <c r="U17" s="117"/>
      <c r="V17" s="117"/>
      <c r="W17" s="117"/>
      <c r="X17" s="264"/>
    </row>
    <row r="18" spans="1:24" ht="20" customHeight="1">
      <c r="A18" s="15"/>
      <c r="B18" s="52" t="s">
        <v>22</v>
      </c>
      <c r="C18" s="94">
        <v>2044</v>
      </c>
      <c r="D18" s="78">
        <v>2682</v>
      </c>
      <c r="E18" s="78">
        <v>2864</v>
      </c>
      <c r="F18" s="78">
        <v>1003</v>
      </c>
      <c r="G18" s="78">
        <v>1486</v>
      </c>
      <c r="H18" s="78">
        <v>589</v>
      </c>
      <c r="I18" s="78">
        <v>1464</v>
      </c>
      <c r="J18" s="162">
        <f>1003-823</f>
        <v>180</v>
      </c>
      <c r="K18" s="89">
        <f>1050-157-L18-147</f>
        <v>353</v>
      </c>
      <c r="L18" s="89">
        <f>540-147</f>
        <v>393</v>
      </c>
      <c r="M18" s="89">
        <f>266-104</f>
        <v>162</v>
      </c>
      <c r="N18" s="89">
        <f>G18-SUM(K18:M18)</f>
        <v>578</v>
      </c>
      <c r="O18" s="89">
        <f>828-301</f>
        <v>527</v>
      </c>
      <c r="P18" s="89">
        <f>-25-155</f>
        <v>-180</v>
      </c>
      <c r="Q18" s="210">
        <v>42</v>
      </c>
      <c r="R18" s="78">
        <v>200</v>
      </c>
      <c r="S18" s="78">
        <v>118</v>
      </c>
      <c r="T18" s="78">
        <v>632</v>
      </c>
      <c r="U18" s="78">
        <v>125</v>
      </c>
      <c r="V18" s="78">
        <v>589</v>
      </c>
      <c r="W18" s="78">
        <v>969</v>
      </c>
      <c r="X18" s="163">
        <v>286</v>
      </c>
    </row>
    <row r="19" spans="1:24" ht="20" customHeight="1">
      <c r="A19" s="7"/>
      <c r="B19" s="52" t="s">
        <v>23</v>
      </c>
      <c r="C19" s="94">
        <v>3988</v>
      </c>
      <c r="D19" s="78">
        <v>4530</v>
      </c>
      <c r="E19" s="78">
        <v>6139</v>
      </c>
      <c r="F19" s="78">
        <v>4933</v>
      </c>
      <c r="G19" s="78">
        <v>5645</v>
      </c>
      <c r="H19" s="78">
        <v>3505</v>
      </c>
      <c r="I19" s="78">
        <v>4004</v>
      </c>
      <c r="J19" s="162">
        <f>4933-3691</f>
        <v>1242</v>
      </c>
      <c r="K19" s="89">
        <f>2524-157-L19-147</f>
        <v>945</v>
      </c>
      <c r="L19" s="89">
        <f>1422-147</f>
        <v>1275</v>
      </c>
      <c r="M19" s="89">
        <f>1120-104</f>
        <v>1016</v>
      </c>
      <c r="N19" s="89">
        <f>G19-SUM(K19:M19)</f>
        <v>2409</v>
      </c>
      <c r="O19" s="89">
        <f>1050-301</f>
        <v>749</v>
      </c>
      <c r="P19" s="89">
        <f>1233-155</f>
        <v>1078</v>
      </c>
      <c r="Q19" s="210">
        <v>749</v>
      </c>
      <c r="R19" s="78">
        <v>929</v>
      </c>
      <c r="S19" s="78">
        <v>1025</v>
      </c>
      <c r="T19" s="78">
        <v>976</v>
      </c>
      <c r="U19" s="78">
        <v>435</v>
      </c>
      <c r="V19" s="78">
        <v>1568</v>
      </c>
      <c r="W19" s="78">
        <v>2565</v>
      </c>
      <c r="X19" s="163">
        <v>2657</v>
      </c>
    </row>
    <row r="20" spans="1:24" ht="20" customHeight="1" thickBot="1">
      <c r="A20" s="7"/>
      <c r="B20" s="52" t="s">
        <v>184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-706</v>
      </c>
      <c r="J20" s="162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210">
        <v>0</v>
      </c>
      <c r="R20" s="78">
        <v>0</v>
      </c>
      <c r="S20" s="78">
        <v>0</v>
      </c>
      <c r="T20" s="78">
        <v>0</v>
      </c>
      <c r="U20" s="78">
        <v>-240</v>
      </c>
      <c r="V20" s="78">
        <v>-466</v>
      </c>
      <c r="W20" s="78">
        <v>-599</v>
      </c>
      <c r="X20" s="163">
        <v>-435</v>
      </c>
    </row>
    <row r="21" spans="1:24" ht="20" customHeight="1" thickBot="1">
      <c r="A21" s="7"/>
      <c r="B21" s="51" t="s">
        <v>24</v>
      </c>
      <c r="C21" s="143">
        <f t="shared" ref="C21" si="12">C16+C18-C19</f>
        <v>10156</v>
      </c>
      <c r="D21" s="143">
        <f t="shared" ref="D21" si="13">D16+D18-D19</f>
        <v>9203</v>
      </c>
      <c r="E21" s="143">
        <f t="shared" ref="E21" si="14">E16+E18-E19</f>
        <v>15040</v>
      </c>
      <c r="F21" s="143">
        <f t="shared" ref="F21" si="15">F16+F18-F19</f>
        <v>21021</v>
      </c>
      <c r="G21" s="143">
        <f t="shared" ref="G21" si="16">G16+G18-G19</f>
        <v>29402</v>
      </c>
      <c r="H21" s="143">
        <f t="shared" ref="H21" si="17">H16+H18-H19</f>
        <v>35051</v>
      </c>
      <c r="I21" s="143">
        <f>I16+I18-I19+I20</f>
        <v>40788</v>
      </c>
      <c r="J21" s="278">
        <f>J16+J18-J19+J20</f>
        <v>-4003</v>
      </c>
      <c r="K21" s="279">
        <f>K16+K18-K19+K20</f>
        <v>6522</v>
      </c>
      <c r="L21" s="279">
        <f t="shared" ref="L21:V21" si="18">L16+L18-L19+L20</f>
        <v>9192</v>
      </c>
      <c r="M21" s="279">
        <f t="shared" si="18"/>
        <v>8960</v>
      </c>
      <c r="N21" s="279">
        <f t="shared" si="18"/>
        <v>4728</v>
      </c>
      <c r="O21" s="279">
        <f t="shared" si="18"/>
        <v>10504</v>
      </c>
      <c r="P21" s="279">
        <f t="shared" si="18"/>
        <v>11717</v>
      </c>
      <c r="Q21" s="279">
        <f t="shared" si="18"/>
        <v>10202</v>
      </c>
      <c r="R21" s="279">
        <f t="shared" si="18"/>
        <v>2628</v>
      </c>
      <c r="S21" s="279">
        <f t="shared" si="18"/>
        <v>10232</v>
      </c>
      <c r="T21" s="279">
        <f t="shared" si="18"/>
        <v>11545</v>
      </c>
      <c r="U21" s="279">
        <f t="shared" si="18"/>
        <v>9655</v>
      </c>
      <c r="V21" s="279">
        <f t="shared" si="18"/>
        <v>9356</v>
      </c>
      <c r="W21" s="279">
        <f t="shared" ref="W21:X21" si="19">W16+W18-W19+W20</f>
        <v>14728</v>
      </c>
      <c r="X21" s="280">
        <f t="shared" si="19"/>
        <v>15296</v>
      </c>
    </row>
    <row r="22" spans="1:24" ht="20" customHeight="1">
      <c r="A22" s="15"/>
      <c r="B22" s="53"/>
      <c r="C22" s="85"/>
      <c r="D22" s="28"/>
      <c r="E22" s="28"/>
      <c r="F22" s="28"/>
      <c r="G22" s="28"/>
      <c r="H22" s="28"/>
      <c r="I22" s="28"/>
      <c r="J22" s="164"/>
      <c r="K22" s="86"/>
      <c r="L22" s="144"/>
      <c r="M22" s="65"/>
      <c r="N22" s="145"/>
      <c r="O22" s="86"/>
      <c r="P22" s="86"/>
      <c r="Q22" s="117"/>
      <c r="R22" s="117"/>
      <c r="S22" s="117"/>
      <c r="T22" s="117"/>
      <c r="U22" s="117"/>
      <c r="V22" s="117"/>
      <c r="W22" s="117"/>
      <c r="X22" s="264"/>
    </row>
    <row r="23" spans="1:24" ht="20" customHeight="1" thickBot="1">
      <c r="A23" s="7"/>
      <c r="B23" s="52" t="s">
        <v>25</v>
      </c>
      <c r="C23" s="94">
        <v>3302</v>
      </c>
      <c r="D23" s="78">
        <v>5501</v>
      </c>
      <c r="E23" s="78">
        <v>3311</v>
      </c>
      <c r="F23" s="78">
        <v>5760</v>
      </c>
      <c r="G23" s="78">
        <v>6039</v>
      </c>
      <c r="H23" s="78">
        <v>5530</v>
      </c>
      <c r="I23" s="78">
        <v>8309</v>
      </c>
      <c r="J23" s="162">
        <f>5760-388-4938</f>
        <v>434</v>
      </c>
      <c r="K23" s="89">
        <f>3546-L23</f>
        <v>1416</v>
      </c>
      <c r="L23" s="89">
        <v>2130</v>
      </c>
      <c r="M23" s="89">
        <v>1998</v>
      </c>
      <c r="N23" s="89">
        <f>G23-SUM(K23:M23)</f>
        <v>495</v>
      </c>
      <c r="O23" s="89">
        <v>2006</v>
      </c>
      <c r="P23" s="89">
        <v>1960</v>
      </c>
      <c r="Q23" s="210">
        <v>1420</v>
      </c>
      <c r="R23" s="78">
        <v>144</v>
      </c>
      <c r="S23" s="78">
        <v>1877</v>
      </c>
      <c r="T23" s="78">
        <v>2096</v>
      </c>
      <c r="U23" s="78">
        <v>2359</v>
      </c>
      <c r="V23" s="78">
        <v>1977</v>
      </c>
      <c r="W23" s="78">
        <v>3632</v>
      </c>
      <c r="X23" s="163">
        <v>3180</v>
      </c>
    </row>
    <row r="24" spans="1:24" ht="20" customHeight="1" thickBot="1">
      <c r="A24" s="15"/>
      <c r="B24" s="51" t="s">
        <v>26</v>
      </c>
      <c r="C24" s="143">
        <f t="shared" ref="C24" si="20">C21-C23</f>
        <v>6854</v>
      </c>
      <c r="D24" s="143">
        <f t="shared" ref="D24" si="21">D21-D23</f>
        <v>3702</v>
      </c>
      <c r="E24" s="143">
        <f t="shared" ref="E24" si="22">E21-E23</f>
        <v>11729</v>
      </c>
      <c r="F24" s="143">
        <f t="shared" ref="F24" si="23">F21-F23</f>
        <v>15261</v>
      </c>
      <c r="G24" s="143">
        <f t="shared" ref="G24:I24" si="24">G21-G23</f>
        <v>23363</v>
      </c>
      <c r="H24" s="143">
        <f t="shared" ref="H24" si="25">H21-H23</f>
        <v>29521</v>
      </c>
      <c r="I24" s="143">
        <f t="shared" si="24"/>
        <v>32479</v>
      </c>
      <c r="J24" s="278">
        <f t="shared" ref="J24:L24" si="26">J21-J23</f>
        <v>-4437</v>
      </c>
      <c r="K24" s="279">
        <f t="shared" si="26"/>
        <v>5106</v>
      </c>
      <c r="L24" s="279">
        <f t="shared" si="26"/>
        <v>7062</v>
      </c>
      <c r="M24" s="279">
        <f>M21-M23</f>
        <v>6962</v>
      </c>
      <c r="N24" s="279">
        <f t="shared" ref="N24:P24" si="27">N21-N23</f>
        <v>4233</v>
      </c>
      <c r="O24" s="279">
        <f t="shared" si="27"/>
        <v>8498</v>
      </c>
      <c r="P24" s="279">
        <f t="shared" si="27"/>
        <v>9757</v>
      </c>
      <c r="Q24" s="279">
        <f>Q21-Q23</f>
        <v>8782</v>
      </c>
      <c r="R24" s="279">
        <f t="shared" ref="R24:V24" si="28">R21-R23</f>
        <v>2484</v>
      </c>
      <c r="S24" s="279">
        <f t="shared" si="28"/>
        <v>8355</v>
      </c>
      <c r="T24" s="279">
        <f t="shared" si="28"/>
        <v>9449</v>
      </c>
      <c r="U24" s="279">
        <f t="shared" si="28"/>
        <v>7296</v>
      </c>
      <c r="V24" s="279">
        <f t="shared" si="28"/>
        <v>7379</v>
      </c>
      <c r="W24" s="279">
        <f t="shared" ref="W24" si="29">W21-W23</f>
        <v>11096</v>
      </c>
      <c r="X24" s="280">
        <f>X21-X23</f>
        <v>12116</v>
      </c>
    </row>
    <row r="25" spans="1:24" ht="20" customHeight="1">
      <c r="A25" s="16"/>
      <c r="B25" s="53"/>
      <c r="C25" s="85"/>
      <c r="D25" s="28"/>
      <c r="E25" s="28"/>
      <c r="F25" s="28"/>
      <c r="G25" s="28"/>
      <c r="H25" s="28"/>
      <c r="I25" s="28"/>
      <c r="J25" s="265"/>
      <c r="K25" s="86"/>
      <c r="L25" s="144"/>
      <c r="M25" s="21"/>
      <c r="N25" s="145"/>
      <c r="O25" s="86"/>
      <c r="P25" s="86"/>
      <c r="Q25" s="117"/>
      <c r="R25" s="117"/>
      <c r="S25" s="117"/>
      <c r="T25" s="117"/>
      <c r="U25" s="117"/>
      <c r="V25" s="117"/>
      <c r="W25" s="117"/>
      <c r="X25" s="264"/>
    </row>
    <row r="26" spans="1:24" ht="20" customHeight="1">
      <c r="A26" s="7"/>
      <c r="B26" s="52" t="s">
        <v>83</v>
      </c>
      <c r="C26" s="94">
        <v>-1941</v>
      </c>
      <c r="D26" s="78">
        <v>-402</v>
      </c>
      <c r="E26" s="78">
        <v>-705</v>
      </c>
      <c r="F26" s="78">
        <v>-444</v>
      </c>
      <c r="G26" s="78">
        <v>0</v>
      </c>
      <c r="H26" s="78">
        <v>0</v>
      </c>
      <c r="I26" s="78">
        <v>0</v>
      </c>
      <c r="J26" s="162">
        <f>-444+416</f>
        <v>-28</v>
      </c>
      <c r="K26" s="78">
        <v>0</v>
      </c>
      <c r="L26" s="78">
        <v>0</v>
      </c>
      <c r="M26" s="78">
        <v>0</v>
      </c>
      <c r="N26" s="78">
        <f t="shared" ref="N26" si="30">I26-SUM(K26:M26)</f>
        <v>0</v>
      </c>
      <c r="O26" s="78">
        <v>0</v>
      </c>
      <c r="P26" s="78">
        <v>0</v>
      </c>
      <c r="Q26" s="95">
        <v>0</v>
      </c>
      <c r="R26" s="78">
        <f>I26-SUM(O26:Q26)</f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163">
        <v>0</v>
      </c>
    </row>
    <row r="27" spans="1:24" ht="20" customHeight="1" thickBot="1">
      <c r="A27" s="7"/>
      <c r="B27" s="53"/>
      <c r="C27" s="85"/>
      <c r="D27" s="28"/>
      <c r="E27" s="28"/>
      <c r="F27" s="28"/>
      <c r="G27" s="28"/>
      <c r="H27" s="28"/>
      <c r="I27" s="28"/>
      <c r="J27" s="265"/>
      <c r="K27" s="86"/>
      <c r="L27" s="144"/>
      <c r="M27" s="65"/>
      <c r="N27" s="145"/>
      <c r="O27" s="86"/>
      <c r="P27" s="86"/>
      <c r="Q27" s="117"/>
      <c r="R27" s="117"/>
      <c r="S27" s="117"/>
      <c r="T27" s="117"/>
      <c r="U27" s="117"/>
      <c r="V27" s="117"/>
      <c r="W27" s="117"/>
      <c r="X27" s="264"/>
    </row>
    <row r="28" spans="1:24" ht="20" customHeight="1" thickBot="1">
      <c r="A28" s="15"/>
      <c r="B28" s="51" t="s">
        <v>27</v>
      </c>
      <c r="C28" s="143">
        <f t="shared" ref="C28:I28" si="31">C24+C26</f>
        <v>4913</v>
      </c>
      <c r="D28" s="143">
        <f t="shared" si="31"/>
        <v>3300</v>
      </c>
      <c r="E28" s="143">
        <f t="shared" si="31"/>
        <v>11024</v>
      </c>
      <c r="F28" s="143">
        <f t="shared" si="31"/>
        <v>14817</v>
      </c>
      <c r="G28" s="143">
        <f t="shared" ref="G28:H28" si="32">G24+G26</f>
        <v>23363</v>
      </c>
      <c r="H28" s="143">
        <f t="shared" si="32"/>
        <v>29521</v>
      </c>
      <c r="I28" s="143">
        <f t="shared" si="31"/>
        <v>32479</v>
      </c>
      <c r="J28" s="278">
        <f t="shared" ref="J28:L28" si="33">J24+J26</f>
        <v>-4465</v>
      </c>
      <c r="K28" s="279">
        <f t="shared" si="33"/>
        <v>5106</v>
      </c>
      <c r="L28" s="279">
        <f t="shared" si="33"/>
        <v>7062</v>
      </c>
      <c r="M28" s="279">
        <f>M24+M26</f>
        <v>6962</v>
      </c>
      <c r="N28" s="279">
        <f t="shared" ref="N28:P28" si="34">N24+N26</f>
        <v>4233</v>
      </c>
      <c r="O28" s="279">
        <f t="shared" si="34"/>
        <v>8498</v>
      </c>
      <c r="P28" s="279">
        <f t="shared" si="34"/>
        <v>9757</v>
      </c>
      <c r="Q28" s="279">
        <f>Q24+Q26</f>
        <v>8782</v>
      </c>
      <c r="R28" s="279">
        <f t="shared" ref="R28:V28" si="35">R24+R26</f>
        <v>2484</v>
      </c>
      <c r="S28" s="279">
        <f t="shared" si="35"/>
        <v>8355</v>
      </c>
      <c r="T28" s="279">
        <f t="shared" si="35"/>
        <v>9449</v>
      </c>
      <c r="U28" s="279">
        <f t="shared" si="35"/>
        <v>7296</v>
      </c>
      <c r="V28" s="279">
        <f t="shared" si="35"/>
        <v>7379</v>
      </c>
      <c r="W28" s="279">
        <f t="shared" ref="W28:X28" si="36">W24+W26</f>
        <v>11096</v>
      </c>
      <c r="X28" s="280">
        <f t="shared" si="36"/>
        <v>12116</v>
      </c>
    </row>
    <row r="29" spans="1:24" ht="20" customHeight="1">
      <c r="A29" s="7"/>
      <c r="B29" s="53"/>
      <c r="C29" s="85"/>
      <c r="D29" s="28"/>
      <c r="E29" s="28"/>
      <c r="F29" s="28"/>
      <c r="G29" s="28"/>
      <c r="H29" s="28"/>
      <c r="I29" s="28"/>
      <c r="J29" s="164"/>
      <c r="K29" s="86"/>
      <c r="L29" s="65"/>
      <c r="M29" s="65"/>
      <c r="N29" s="65"/>
      <c r="O29" s="86"/>
      <c r="P29" s="86"/>
      <c r="Q29" s="117"/>
      <c r="R29" s="117"/>
      <c r="S29" s="117"/>
      <c r="T29" s="117"/>
      <c r="U29" s="117"/>
      <c r="V29" s="117"/>
      <c r="W29" s="117"/>
      <c r="X29" s="264"/>
    </row>
    <row r="30" spans="1:24" ht="20" customHeight="1">
      <c r="A30" s="7"/>
      <c r="B30" s="53" t="s">
        <v>28</v>
      </c>
      <c r="C30" s="32"/>
      <c r="D30" s="120"/>
      <c r="E30" s="120"/>
      <c r="F30" s="120"/>
      <c r="G30" s="120"/>
      <c r="H30" s="120"/>
      <c r="I30" s="120"/>
      <c r="J30" s="164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266"/>
    </row>
    <row r="31" spans="1:24" ht="20" customHeight="1">
      <c r="A31" s="7"/>
      <c r="B31" s="53" t="s">
        <v>29</v>
      </c>
      <c r="C31" s="92">
        <v>5103</v>
      </c>
      <c r="D31" s="84">
        <v>2557</v>
      </c>
      <c r="E31" s="84">
        <v>10206</v>
      </c>
      <c r="F31" s="84">
        <v>14964</v>
      </c>
      <c r="G31" s="84">
        <v>21565</v>
      </c>
      <c r="H31" s="84">
        <v>26853</v>
      </c>
      <c r="I31" s="84">
        <v>29789</v>
      </c>
      <c r="J31" s="165">
        <f>14964-2041+388-2101+343-15165</f>
        <v>-3612</v>
      </c>
      <c r="K31" s="142">
        <f>10934-L31</f>
        <v>4939</v>
      </c>
      <c r="L31" s="142">
        <v>5995</v>
      </c>
      <c r="M31" s="142">
        <v>6434</v>
      </c>
      <c r="N31" s="78">
        <f t="shared" ref="N31:N32" si="37">I31-SUM(K31:M31)</f>
        <v>12421</v>
      </c>
      <c r="O31" s="142">
        <f>16678-P31</f>
        <v>7896</v>
      </c>
      <c r="P31" s="142">
        <v>8782</v>
      </c>
      <c r="Q31" s="140">
        <v>7844</v>
      </c>
      <c r="R31" s="78">
        <v>2331</v>
      </c>
      <c r="S31" s="78">
        <v>7732</v>
      </c>
      <c r="T31" s="78">
        <v>8697</v>
      </c>
      <c r="U31" s="78">
        <v>6621</v>
      </c>
      <c r="V31" s="78">
        <v>6739</v>
      </c>
      <c r="W31" s="78">
        <v>10740</v>
      </c>
      <c r="X31" s="163">
        <v>10154</v>
      </c>
    </row>
    <row r="32" spans="1:24" ht="20" customHeight="1">
      <c r="A32" s="7"/>
      <c r="B32" s="53" t="s">
        <v>30</v>
      </c>
      <c r="C32" s="92">
        <v>-190</v>
      </c>
      <c r="D32" s="84">
        <v>743</v>
      </c>
      <c r="E32" s="84">
        <v>818</v>
      </c>
      <c r="F32" s="84">
        <v>-147</v>
      </c>
      <c r="G32" s="84">
        <v>1798</v>
      </c>
      <c r="H32" s="84">
        <v>2668</v>
      </c>
      <c r="I32" s="84">
        <v>2690</v>
      </c>
      <c r="J32" s="165">
        <f>-147-706</f>
        <v>-853</v>
      </c>
      <c r="K32" s="142">
        <f>1234-L32</f>
        <v>167</v>
      </c>
      <c r="L32" s="142">
        <v>1067</v>
      </c>
      <c r="M32" s="142">
        <v>528</v>
      </c>
      <c r="N32" s="78">
        <f t="shared" si="37"/>
        <v>928</v>
      </c>
      <c r="O32" s="142">
        <f>1577-P32</f>
        <v>602</v>
      </c>
      <c r="P32" s="142">
        <v>975</v>
      </c>
      <c r="Q32" s="140">
        <v>938</v>
      </c>
      <c r="R32" s="78">
        <v>153</v>
      </c>
      <c r="S32" s="78">
        <v>623</v>
      </c>
      <c r="T32" s="78">
        <v>752</v>
      </c>
      <c r="U32" s="78">
        <v>675</v>
      </c>
      <c r="V32" s="78">
        <v>640</v>
      </c>
      <c r="W32" s="78">
        <v>356</v>
      </c>
      <c r="X32" s="163">
        <v>1962</v>
      </c>
    </row>
    <row r="33" spans="1:24" ht="20" customHeight="1">
      <c r="A33" s="7"/>
      <c r="B33" s="51"/>
      <c r="C33" s="85"/>
      <c r="D33" s="27"/>
      <c r="E33" s="27"/>
      <c r="F33" s="27"/>
      <c r="G33" s="27"/>
      <c r="H33" s="27"/>
      <c r="I33" s="27"/>
      <c r="J33" s="267"/>
      <c r="K33" s="28"/>
      <c r="L33" s="65"/>
      <c r="M33" s="65"/>
      <c r="N33" s="139"/>
      <c r="O33" s="28"/>
      <c r="P33" s="28"/>
      <c r="Q33" s="141"/>
      <c r="R33" s="141"/>
      <c r="S33" s="141"/>
      <c r="T33" s="141"/>
      <c r="U33" s="141"/>
      <c r="V33" s="141"/>
      <c r="W33" s="141"/>
      <c r="X33" s="268"/>
    </row>
    <row r="34" spans="1:24" ht="20" customHeight="1">
      <c r="A34" s="7"/>
      <c r="B34" s="51" t="s">
        <v>31</v>
      </c>
      <c r="C34" s="34"/>
      <c r="D34" s="27"/>
      <c r="E34" s="27"/>
      <c r="F34" s="27"/>
      <c r="G34" s="27"/>
      <c r="H34" s="27"/>
      <c r="I34" s="27"/>
      <c r="J34" s="267"/>
      <c r="K34" s="28"/>
      <c r="L34" s="21"/>
      <c r="M34" s="21"/>
      <c r="N34" s="139"/>
      <c r="O34" s="86"/>
      <c r="P34" s="86"/>
      <c r="Q34" s="117"/>
      <c r="R34" s="117"/>
      <c r="S34" s="117"/>
      <c r="T34" s="117"/>
      <c r="U34" s="117"/>
      <c r="V34" s="117"/>
      <c r="W34" s="117"/>
      <c r="X34" s="264"/>
    </row>
    <row r="35" spans="1:24" ht="20" customHeight="1">
      <c r="A35" s="7"/>
      <c r="B35" s="52" t="s">
        <v>109</v>
      </c>
      <c r="C35" s="94">
        <v>271</v>
      </c>
      <c r="D35" s="78">
        <v>1641</v>
      </c>
      <c r="E35" s="78">
        <v>4996</v>
      </c>
      <c r="F35" s="78">
        <v>3726</v>
      </c>
      <c r="G35" s="78">
        <v>-508</v>
      </c>
      <c r="H35" s="78">
        <v>659</v>
      </c>
      <c r="I35" s="78">
        <v>-1022</v>
      </c>
      <c r="J35" s="166">
        <f>3726-6889+313</f>
        <v>-2850</v>
      </c>
      <c r="K35" s="89">
        <f>-1009-L35</f>
        <v>-266</v>
      </c>
      <c r="L35" s="89">
        <v>-743</v>
      </c>
      <c r="M35" s="89">
        <v>612</v>
      </c>
      <c r="N35" s="89">
        <f>G35-SUM(K35:M35)</f>
        <v>-111</v>
      </c>
      <c r="O35" s="125">
        <f>-2713-P35</f>
        <v>-2368</v>
      </c>
      <c r="P35" s="125">
        <v>-345</v>
      </c>
      <c r="Q35" s="125">
        <v>2272</v>
      </c>
      <c r="R35" s="78">
        <v>1100</v>
      </c>
      <c r="S35" s="125">
        <f>-1819</f>
        <v>-1819</v>
      </c>
      <c r="T35" s="125">
        <v>4881</v>
      </c>
      <c r="U35" s="125">
        <f>-1167</f>
        <v>-1167</v>
      </c>
      <c r="V35" s="125">
        <v>-2917</v>
      </c>
      <c r="W35" s="125">
        <v>7050</v>
      </c>
      <c r="X35" s="269">
        <v>307</v>
      </c>
    </row>
    <row r="36" spans="1:24" ht="20" customHeight="1" thickBot="1">
      <c r="B36" s="51"/>
      <c r="C36" s="85"/>
      <c r="D36" s="86"/>
      <c r="E36" s="86"/>
      <c r="F36" s="86"/>
      <c r="G36" s="86"/>
      <c r="H36" s="86"/>
      <c r="I36" s="86"/>
      <c r="J36" s="164"/>
      <c r="K36" s="86"/>
      <c r="L36" s="144"/>
      <c r="M36" s="65"/>
      <c r="N36" s="86"/>
      <c r="O36" s="86"/>
      <c r="P36" s="86"/>
      <c r="Q36" s="117"/>
      <c r="R36" s="117"/>
      <c r="S36" s="117"/>
      <c r="T36" s="117"/>
      <c r="U36" s="117"/>
      <c r="V36" s="117"/>
      <c r="W36" s="117"/>
      <c r="X36" s="264"/>
    </row>
    <row r="37" spans="1:24" ht="20" customHeight="1" thickBot="1">
      <c r="B37" s="51" t="s">
        <v>32</v>
      </c>
      <c r="C37" s="143">
        <f t="shared" ref="C37:F37" si="38">C28+C35</f>
        <v>5184</v>
      </c>
      <c r="D37" s="143">
        <f t="shared" si="38"/>
        <v>4941</v>
      </c>
      <c r="E37" s="143">
        <f t="shared" si="38"/>
        <v>16020</v>
      </c>
      <c r="F37" s="143">
        <f t="shared" si="38"/>
        <v>18543</v>
      </c>
      <c r="G37" s="143">
        <f>G28+G35</f>
        <v>22855</v>
      </c>
      <c r="H37" s="143">
        <f>H28+H35</f>
        <v>30180</v>
      </c>
      <c r="I37" s="143">
        <f>I28+I35</f>
        <v>31457</v>
      </c>
      <c r="J37" s="278">
        <f t="shared" ref="J37:L37" si="39">J28+J35</f>
        <v>-7315</v>
      </c>
      <c r="K37" s="279">
        <f t="shared" si="39"/>
        <v>4840</v>
      </c>
      <c r="L37" s="279">
        <f t="shared" si="39"/>
        <v>6319</v>
      </c>
      <c r="M37" s="279">
        <f>M28+M35</f>
        <v>7574</v>
      </c>
      <c r="N37" s="279">
        <f t="shared" ref="N37:V37" si="40">N28+N35</f>
        <v>4122</v>
      </c>
      <c r="O37" s="279">
        <f t="shared" si="40"/>
        <v>6130</v>
      </c>
      <c r="P37" s="279">
        <f t="shared" si="40"/>
        <v>9412</v>
      </c>
      <c r="Q37" s="279">
        <f t="shared" ref="Q37" si="41">Q28+Q35</f>
        <v>11054</v>
      </c>
      <c r="R37" s="279">
        <f t="shared" si="40"/>
        <v>3584</v>
      </c>
      <c r="S37" s="279">
        <f t="shared" si="40"/>
        <v>6536</v>
      </c>
      <c r="T37" s="279">
        <f t="shared" si="40"/>
        <v>14330</v>
      </c>
      <c r="U37" s="279">
        <f t="shared" si="40"/>
        <v>6129</v>
      </c>
      <c r="V37" s="279">
        <f t="shared" si="40"/>
        <v>4462</v>
      </c>
      <c r="W37" s="279">
        <f t="shared" ref="W37:X37" si="42">W28+W35</f>
        <v>18146</v>
      </c>
      <c r="X37" s="280">
        <f t="shared" si="42"/>
        <v>12423</v>
      </c>
    </row>
    <row r="38" spans="1:24" ht="20" customHeight="1">
      <c r="B38" s="53" t="s">
        <v>28</v>
      </c>
      <c r="C38" s="85"/>
      <c r="D38" s="86"/>
      <c r="E38" s="86"/>
      <c r="F38" s="86"/>
      <c r="G38" s="86"/>
      <c r="H38" s="86"/>
      <c r="I38" s="86"/>
      <c r="J38" s="167"/>
      <c r="K38" s="28"/>
      <c r="L38" s="144"/>
      <c r="M38" s="65"/>
      <c r="N38" s="86"/>
      <c r="O38" s="86"/>
      <c r="P38" s="86"/>
      <c r="Q38" s="117"/>
      <c r="R38" s="117"/>
      <c r="S38" s="117"/>
      <c r="T38" s="117"/>
      <c r="U38" s="117"/>
      <c r="V38" s="117"/>
      <c r="W38" s="117"/>
      <c r="X38" s="264"/>
    </row>
    <row r="39" spans="1:24" ht="20" customHeight="1">
      <c r="B39" s="53" t="s">
        <v>29</v>
      </c>
      <c r="C39" s="94">
        <v>5830</v>
      </c>
      <c r="D39" s="78">
        <v>3433</v>
      </c>
      <c r="E39" s="78">
        <v>16041</v>
      </c>
      <c r="F39" s="78">
        <v>18597</v>
      </c>
      <c r="G39" s="78">
        <v>21487</v>
      </c>
      <c r="H39" s="78">
        <v>27635</v>
      </c>
      <c r="I39" s="78">
        <v>29208</v>
      </c>
      <c r="J39" s="166">
        <f>18597-2041+388-2101+343-6889-15274+313</f>
        <v>-6664</v>
      </c>
      <c r="K39" s="89">
        <f>9500-L39</f>
        <v>4679</v>
      </c>
      <c r="L39" s="89">
        <v>4821</v>
      </c>
      <c r="M39" s="89">
        <v>7169</v>
      </c>
      <c r="N39" s="89">
        <f>G39-SUM(K39:M39)</f>
        <v>4818</v>
      </c>
      <c r="O39" s="89">
        <f>14532-P39</f>
        <v>5299</v>
      </c>
      <c r="P39" s="89">
        <v>9233</v>
      </c>
      <c r="Q39" s="89">
        <v>10063</v>
      </c>
      <c r="R39" s="78">
        <v>3040</v>
      </c>
      <c r="S39" s="78">
        <v>5967</v>
      </c>
      <c r="T39" s="78">
        <v>13067</v>
      </c>
      <c r="U39" s="78">
        <v>5605</v>
      </c>
      <c r="V39" s="78">
        <v>4569</v>
      </c>
      <c r="W39" s="78">
        <v>13685</v>
      </c>
      <c r="X39" s="163">
        <v>10725</v>
      </c>
    </row>
    <row r="40" spans="1:24" ht="20" customHeight="1">
      <c r="B40" s="53" t="s">
        <v>30</v>
      </c>
      <c r="C40" s="94">
        <v>-646</v>
      </c>
      <c r="D40" s="78">
        <v>1508</v>
      </c>
      <c r="E40" s="78">
        <v>-21</v>
      </c>
      <c r="F40" s="78">
        <v>-54</v>
      </c>
      <c r="G40" s="78">
        <f>1368</f>
        <v>1368</v>
      </c>
      <c r="H40" s="78">
        <v>2545</v>
      </c>
      <c r="I40" s="78">
        <v>2249</v>
      </c>
      <c r="J40" s="162">
        <f>-54-284</f>
        <v>-338</v>
      </c>
      <c r="K40" s="89">
        <f>1659-L40</f>
        <v>161</v>
      </c>
      <c r="L40" s="89">
        <v>1498</v>
      </c>
      <c r="M40" s="89">
        <v>405</v>
      </c>
      <c r="N40" s="89">
        <f>G40-SUM(K40:M40)</f>
        <v>-696</v>
      </c>
      <c r="O40" s="89">
        <f>1010-P40</f>
        <v>831</v>
      </c>
      <c r="P40" s="89">
        <v>179</v>
      </c>
      <c r="Q40" s="125">
        <v>991</v>
      </c>
      <c r="R40" s="78">
        <v>544</v>
      </c>
      <c r="S40" s="78">
        <v>569</v>
      </c>
      <c r="T40" s="78">
        <v>1263</v>
      </c>
      <c r="U40" s="78">
        <v>524</v>
      </c>
      <c r="V40" s="78">
        <v>-107</v>
      </c>
      <c r="W40" s="78">
        <v>4461</v>
      </c>
      <c r="X40" s="163">
        <v>1698</v>
      </c>
    </row>
    <row r="41" spans="1:24" ht="20" customHeight="1">
      <c r="B41" s="51"/>
      <c r="C41" s="33"/>
      <c r="D41" s="28"/>
      <c r="E41" s="145"/>
      <c r="F41" s="28"/>
      <c r="G41" s="28"/>
      <c r="H41" s="28"/>
      <c r="I41" s="28"/>
      <c r="J41" s="265"/>
      <c r="K41" s="28"/>
      <c r="L41" s="146"/>
      <c r="M41" s="21"/>
      <c r="N41" s="21"/>
      <c r="O41" s="28"/>
      <c r="P41" s="28"/>
      <c r="Q41" s="117"/>
      <c r="R41" s="117"/>
      <c r="S41" s="117"/>
      <c r="T41" s="117"/>
      <c r="U41" s="117"/>
      <c r="V41" s="117"/>
      <c r="W41" s="117"/>
      <c r="X41" s="264"/>
    </row>
    <row r="42" spans="1:24" ht="20" customHeight="1">
      <c r="B42" s="51" t="s">
        <v>33</v>
      </c>
      <c r="C42" s="33"/>
      <c r="D42" s="28"/>
      <c r="E42" s="86"/>
      <c r="F42" s="28"/>
      <c r="G42" s="28"/>
      <c r="H42" s="28"/>
      <c r="I42" s="28"/>
      <c r="J42" s="265"/>
      <c r="K42" s="28"/>
      <c r="L42" s="146"/>
      <c r="M42" s="65"/>
      <c r="N42" s="65"/>
      <c r="O42" s="28"/>
      <c r="P42" s="28"/>
      <c r="Q42" s="117"/>
      <c r="R42" s="117"/>
      <c r="S42" s="117"/>
      <c r="T42" s="117"/>
      <c r="U42" s="117"/>
      <c r="V42" s="117"/>
      <c r="W42" s="117"/>
      <c r="X42" s="264"/>
    </row>
    <row r="43" spans="1:24" ht="20" customHeight="1">
      <c r="B43" s="54" t="s">
        <v>34</v>
      </c>
      <c r="C43" s="35"/>
      <c r="D43" s="86"/>
      <c r="E43" s="86"/>
      <c r="F43" s="86"/>
      <c r="G43" s="86"/>
      <c r="H43" s="86"/>
      <c r="I43" s="86"/>
      <c r="J43" s="167"/>
      <c r="K43" s="28"/>
      <c r="L43" s="147"/>
      <c r="M43" s="21"/>
      <c r="N43" s="21"/>
      <c r="O43" s="86"/>
      <c r="P43" s="86"/>
      <c r="Q43" s="117"/>
      <c r="R43" s="117"/>
      <c r="S43" s="117"/>
      <c r="T43" s="117"/>
      <c r="U43" s="117"/>
      <c r="V43" s="117"/>
      <c r="W43" s="117"/>
      <c r="X43" s="264"/>
    </row>
    <row r="44" spans="1:24" ht="20" customHeight="1">
      <c r="B44" s="52" t="s">
        <v>35</v>
      </c>
      <c r="C44" s="310">
        <v>0.44</v>
      </c>
      <c r="D44" s="123">
        <v>0.24</v>
      </c>
      <c r="E44" s="123">
        <v>0.75</v>
      </c>
      <c r="F44" s="123">
        <v>0.97</v>
      </c>
      <c r="G44" s="123">
        <v>1.49</v>
      </c>
      <c r="H44" s="123">
        <v>1.72</v>
      </c>
      <c r="I44" s="123">
        <v>1.91</v>
      </c>
      <c r="J44" s="270">
        <v>-0.28000000000000003</v>
      </c>
      <c r="K44" s="106">
        <v>0.33</v>
      </c>
      <c r="L44" s="106">
        <v>0.45</v>
      </c>
      <c r="M44" s="106">
        <v>0.44</v>
      </c>
      <c r="N44" s="106">
        <v>0.27</v>
      </c>
      <c r="O44" s="106">
        <f>1.16-P44</f>
        <v>0.53999999999999992</v>
      </c>
      <c r="P44" s="106">
        <v>0.62</v>
      </c>
      <c r="Q44" s="256">
        <v>0.56000000000000005</v>
      </c>
      <c r="R44" s="256">
        <v>0.16</v>
      </c>
      <c r="S44" s="256">
        <v>0.54</v>
      </c>
      <c r="T44" s="256">
        <v>0.6</v>
      </c>
      <c r="U44" s="256">
        <v>0.47</v>
      </c>
      <c r="V44" s="256">
        <v>0.47</v>
      </c>
      <c r="W44" s="256">
        <v>0.69</v>
      </c>
      <c r="X44" s="271">
        <v>0.65</v>
      </c>
    </row>
    <row r="45" spans="1:24" ht="20" customHeight="1">
      <c r="B45" s="52" t="s">
        <v>36</v>
      </c>
      <c r="C45" s="310">
        <v>0.44</v>
      </c>
      <c r="D45" s="123">
        <v>0.24</v>
      </c>
      <c r="E45" s="123">
        <v>0.75</v>
      </c>
      <c r="F45" s="123">
        <v>0.97</v>
      </c>
      <c r="G45" s="123">
        <v>1.19</v>
      </c>
      <c r="H45" s="123">
        <v>1.72</v>
      </c>
      <c r="I45" s="123">
        <v>1.91</v>
      </c>
      <c r="J45" s="270">
        <v>-0.28000000000000003</v>
      </c>
      <c r="K45" s="106">
        <f>0.78-L45</f>
        <v>0.33</v>
      </c>
      <c r="L45" s="106">
        <v>0.45</v>
      </c>
      <c r="M45" s="106">
        <v>0.44</v>
      </c>
      <c r="N45" s="106">
        <v>0.27</v>
      </c>
      <c r="O45" s="106">
        <f>1.16-P45</f>
        <v>0.53999999999999992</v>
      </c>
      <c r="P45" s="106">
        <v>0.62</v>
      </c>
      <c r="Q45" s="256">
        <v>0.56000000000000005</v>
      </c>
      <c r="R45" s="256">
        <v>0.16</v>
      </c>
      <c r="S45" s="256">
        <v>0.54</v>
      </c>
      <c r="T45" s="256">
        <v>0.6</v>
      </c>
      <c r="U45" s="256">
        <v>0.47</v>
      </c>
      <c r="V45" s="256">
        <v>0.47</v>
      </c>
      <c r="W45" s="256">
        <v>0.69</v>
      </c>
      <c r="X45" s="271">
        <v>0.65</v>
      </c>
    </row>
    <row r="46" spans="1:24" ht="20" customHeight="1">
      <c r="B46" s="54" t="s">
        <v>37</v>
      </c>
      <c r="C46" s="311"/>
      <c r="D46" s="312"/>
      <c r="E46" s="123"/>
      <c r="F46" s="123"/>
      <c r="G46" s="123"/>
      <c r="H46" s="148"/>
      <c r="I46" s="148"/>
      <c r="J46" s="272"/>
      <c r="K46" s="150"/>
      <c r="L46" s="149"/>
      <c r="M46" s="149"/>
      <c r="N46" s="149"/>
      <c r="O46" s="151"/>
      <c r="P46" s="149"/>
      <c r="Q46" s="257"/>
      <c r="R46" s="150"/>
      <c r="S46" s="149"/>
      <c r="T46" s="149"/>
      <c r="U46" s="149"/>
      <c r="V46" s="151"/>
      <c r="W46" s="151"/>
      <c r="X46" s="273"/>
    </row>
    <row r="47" spans="1:24" ht="20" customHeight="1">
      <c r="B47" s="52" t="s">
        <v>35</v>
      </c>
      <c r="C47" s="310">
        <v>0.31</v>
      </c>
      <c r="D47" s="123">
        <v>0.21</v>
      </c>
      <c r="E47" s="123">
        <v>0.7</v>
      </c>
      <c r="F47" s="123">
        <v>0.94</v>
      </c>
      <c r="G47" s="123">
        <v>1.49</v>
      </c>
      <c r="H47" s="123">
        <v>1.72</v>
      </c>
      <c r="I47" s="123">
        <v>1.91</v>
      </c>
      <c r="J47" s="270">
        <v>-0.28000000000000003</v>
      </c>
      <c r="K47" s="106">
        <v>0.33</v>
      </c>
      <c r="L47" s="106">
        <v>0.45</v>
      </c>
      <c r="M47" s="106">
        <v>0.44</v>
      </c>
      <c r="N47" s="106">
        <v>0.27</v>
      </c>
      <c r="O47" s="106">
        <v>0.54</v>
      </c>
      <c r="P47" s="106">
        <v>0.62</v>
      </c>
      <c r="Q47" s="256">
        <v>0.56000000000000005</v>
      </c>
      <c r="R47" s="256">
        <v>0.16</v>
      </c>
      <c r="S47" s="256">
        <v>0.54</v>
      </c>
      <c r="T47" s="256">
        <v>0.6</v>
      </c>
      <c r="U47" s="256">
        <v>0.47</v>
      </c>
      <c r="V47" s="256">
        <v>0.47</v>
      </c>
      <c r="W47" s="256">
        <v>0.69</v>
      </c>
      <c r="X47" s="271">
        <v>0.65</v>
      </c>
    </row>
    <row r="48" spans="1:24" ht="20" customHeight="1" thickBot="1">
      <c r="B48" s="55" t="s">
        <v>36</v>
      </c>
      <c r="C48" s="313">
        <v>0.31</v>
      </c>
      <c r="D48" s="124">
        <v>0.21</v>
      </c>
      <c r="E48" s="124">
        <v>0.7</v>
      </c>
      <c r="F48" s="124">
        <v>0.94</v>
      </c>
      <c r="G48" s="124">
        <v>1.49</v>
      </c>
      <c r="H48" s="124">
        <v>1.72</v>
      </c>
      <c r="I48" s="124">
        <v>1.91</v>
      </c>
      <c r="J48" s="274">
        <v>-0.28000000000000003</v>
      </c>
      <c r="K48" s="275">
        <v>0.33</v>
      </c>
      <c r="L48" s="275">
        <v>0.45</v>
      </c>
      <c r="M48" s="275">
        <v>0.44</v>
      </c>
      <c r="N48" s="275">
        <v>0.27</v>
      </c>
      <c r="O48" s="275">
        <v>0.54</v>
      </c>
      <c r="P48" s="275">
        <v>0.62</v>
      </c>
      <c r="Q48" s="276">
        <v>0.56000000000000005</v>
      </c>
      <c r="R48" s="276">
        <v>0.16</v>
      </c>
      <c r="S48" s="276">
        <v>0.54</v>
      </c>
      <c r="T48" s="276">
        <v>0.6</v>
      </c>
      <c r="U48" s="276">
        <v>0.47</v>
      </c>
      <c r="V48" s="276">
        <v>0.47</v>
      </c>
      <c r="W48" s="276">
        <v>0.69</v>
      </c>
      <c r="X48" s="277">
        <v>0.65</v>
      </c>
    </row>
    <row r="49" spans="10:13" ht="20" customHeight="1">
      <c r="J49" s="67" t="s">
        <v>93</v>
      </c>
      <c r="K49" s="68"/>
      <c r="L49" s="68"/>
      <c r="M49" s="68"/>
    </row>
    <row r="50" spans="10:13" ht="20" customHeight="1"/>
    <row r="51" spans="10:13" ht="20" customHeight="1"/>
    <row r="52" spans="10:13" ht="20" customHeight="1"/>
    <row r="53" spans="10:13" ht="20" customHeight="1"/>
    <row r="54" spans="10:13" ht="20" customHeight="1"/>
  </sheetData>
  <mergeCells count="5">
    <mergeCell ref="C4:I4"/>
    <mergeCell ref="B4:B5"/>
    <mergeCell ref="D3:I3"/>
    <mergeCell ref="C1:X1"/>
    <mergeCell ref="J4:X4"/>
  </mergeCells>
  <pageMargins left="0.27559055118110237" right="0.27559055118110237" top="0.74803149606299213" bottom="0.74803149606299213" header="0.31496062992125984" footer="0.31496062992125984"/>
  <pageSetup paperSize="9" scale="5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5"/>
  <sheetViews>
    <sheetView zoomScale="60" zoomScaleNormal="60" workbookViewId="0">
      <pane xSplit="2" ySplit="5" topLeftCell="F6" activePane="bottomRight" state="frozen"/>
      <selection pane="topRight" activeCell="C1" sqref="C1"/>
      <selection pane="bottomLeft" activeCell="A5" sqref="A5"/>
      <selection pane="bottomRight" activeCell="Z16" sqref="Z16"/>
    </sheetView>
  </sheetViews>
  <sheetFormatPr baseColWidth="10" defaultColWidth="9" defaultRowHeight="14"/>
  <cols>
    <col min="1" max="1" width="3.33203125" style="10" customWidth="1"/>
    <col min="2" max="2" width="31.6640625" style="10" customWidth="1"/>
    <col min="3" max="16" width="10.6640625" style="10" customWidth="1"/>
    <col min="17" max="17" width="10.5" style="10" customWidth="1"/>
    <col min="18" max="18" width="11.5" style="10" customWidth="1"/>
    <col min="19" max="21" width="10.6640625" style="10" customWidth="1"/>
    <col min="22" max="22" width="11" style="10" customWidth="1"/>
    <col min="23" max="23" width="13.33203125" style="10" customWidth="1"/>
    <col min="24" max="16384" width="9" style="10"/>
  </cols>
  <sheetData>
    <row r="1" spans="1:23" ht="59.25" customHeight="1">
      <c r="A1" s="7"/>
      <c r="B1" s="46"/>
      <c r="C1" s="18"/>
      <c r="D1" s="18"/>
      <c r="E1" s="300" t="s">
        <v>3</v>
      </c>
      <c r="F1" s="300"/>
      <c r="G1" s="300"/>
      <c r="H1" s="300"/>
      <c r="I1" s="300"/>
      <c r="J1" s="300"/>
      <c r="K1" s="300"/>
      <c r="L1" s="300"/>
      <c r="M1" s="300"/>
      <c r="N1" s="300"/>
      <c r="O1" s="116"/>
      <c r="P1" s="137"/>
      <c r="Q1" s="18"/>
      <c r="R1" s="18"/>
      <c r="S1" s="18"/>
      <c r="T1" s="18"/>
      <c r="U1" s="18"/>
      <c r="V1" s="18"/>
      <c r="W1" s="18"/>
    </row>
    <row r="2" spans="1:23" ht="39.75" customHeight="1">
      <c r="A2" s="7"/>
      <c r="B2" s="47"/>
      <c r="C2" s="48"/>
      <c r="D2" s="48"/>
      <c r="E2" s="59" t="s">
        <v>12</v>
      </c>
      <c r="F2" s="49"/>
      <c r="G2" s="49"/>
      <c r="H2" s="49"/>
      <c r="I2" s="49"/>
      <c r="J2" s="49"/>
      <c r="K2" s="49"/>
      <c r="L2" s="49"/>
      <c r="M2" s="49"/>
      <c r="N2" s="50"/>
      <c r="O2" s="50"/>
      <c r="P2" s="50"/>
      <c r="Q2" s="48"/>
      <c r="R2" s="48"/>
      <c r="S2" s="48"/>
      <c r="T2" s="48"/>
      <c r="U2" s="48"/>
      <c r="V2" s="48"/>
      <c r="W2" s="48"/>
    </row>
    <row r="3" spans="1:23" ht="1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5" customHeight="1" thickBot="1">
      <c r="A4" s="7"/>
      <c r="B4" s="305" t="s">
        <v>0</v>
      </c>
      <c r="C4" s="75"/>
      <c r="D4" s="296" t="s">
        <v>92</v>
      </c>
      <c r="E4" s="296"/>
      <c r="F4" s="296"/>
      <c r="G4" s="136"/>
      <c r="H4" s="217"/>
      <c r="I4" s="76"/>
      <c r="J4" s="290" t="s">
        <v>91</v>
      </c>
      <c r="K4" s="291"/>
      <c r="L4" s="291"/>
      <c r="M4" s="307"/>
      <c r="N4" s="290" t="s">
        <v>91</v>
      </c>
      <c r="O4" s="291"/>
      <c r="P4" s="291"/>
      <c r="Q4" s="291"/>
      <c r="R4" s="301" t="s">
        <v>91</v>
      </c>
      <c r="S4" s="302"/>
      <c r="T4" s="302"/>
      <c r="U4" s="302"/>
      <c r="V4" s="303" t="s">
        <v>91</v>
      </c>
      <c r="W4" s="304"/>
    </row>
    <row r="5" spans="1:23" ht="25" customHeight="1" thickBot="1">
      <c r="A5" s="7"/>
      <c r="B5" s="306"/>
      <c r="C5" s="108" t="s">
        <v>9</v>
      </c>
      <c r="D5" s="109" t="s">
        <v>8</v>
      </c>
      <c r="E5" s="109" t="s">
        <v>7</v>
      </c>
      <c r="F5" s="109" t="s">
        <v>126</v>
      </c>
      <c r="G5" s="136" t="s">
        <v>125</v>
      </c>
      <c r="H5" s="216" t="s">
        <v>157</v>
      </c>
      <c r="I5" s="168" t="s">
        <v>178</v>
      </c>
      <c r="J5" s="175" t="s">
        <v>139</v>
      </c>
      <c r="K5" s="180" t="s">
        <v>140</v>
      </c>
      <c r="L5" s="180" t="s">
        <v>141</v>
      </c>
      <c r="M5" s="181" t="s">
        <v>142</v>
      </c>
      <c r="N5" s="182" t="s">
        <v>146</v>
      </c>
      <c r="O5" s="180" t="s">
        <v>147</v>
      </c>
      <c r="P5" s="180" t="s">
        <v>148</v>
      </c>
      <c r="Q5" s="180" t="s">
        <v>167</v>
      </c>
      <c r="R5" s="191" t="s">
        <v>171</v>
      </c>
      <c r="S5" s="192" t="s">
        <v>174</v>
      </c>
      <c r="T5" s="215" t="s">
        <v>175</v>
      </c>
      <c r="U5" s="215" t="s">
        <v>189</v>
      </c>
      <c r="V5" s="191" t="s">
        <v>192</v>
      </c>
      <c r="W5" s="193" t="s">
        <v>195</v>
      </c>
    </row>
    <row r="6" spans="1:23" ht="25" customHeight="1">
      <c r="A6" s="2"/>
      <c r="B6" s="40" t="s">
        <v>70</v>
      </c>
      <c r="C6" s="37"/>
      <c r="D6" s="20"/>
      <c r="E6" s="20"/>
      <c r="F6" s="20"/>
      <c r="G6" s="20"/>
      <c r="H6" s="20"/>
      <c r="I6" s="20"/>
      <c r="J6" s="176"/>
      <c r="K6" s="20"/>
      <c r="L6" s="20"/>
      <c r="M6" s="38"/>
      <c r="N6" s="37"/>
      <c r="O6" s="20"/>
      <c r="P6" s="20"/>
      <c r="Q6" s="20"/>
      <c r="R6" s="206"/>
      <c r="S6" s="207"/>
      <c r="T6" s="207"/>
      <c r="U6" s="207"/>
      <c r="V6" s="176"/>
      <c r="W6" s="281"/>
    </row>
    <row r="7" spans="1:23" ht="25" customHeight="1">
      <c r="A7" s="2"/>
      <c r="B7" s="41" t="s">
        <v>110</v>
      </c>
      <c r="C7" s="94">
        <v>10156</v>
      </c>
      <c r="D7" s="78">
        <v>9203</v>
      </c>
      <c r="E7" s="78">
        <v>15040</v>
      </c>
      <c r="F7" s="78">
        <v>21021</v>
      </c>
      <c r="G7" s="78">
        <v>29402</v>
      </c>
      <c r="H7" s="78">
        <v>35051</v>
      </c>
      <c r="I7" s="78">
        <v>40788</v>
      </c>
      <c r="J7" s="166">
        <f>6522</f>
        <v>6522</v>
      </c>
      <c r="K7" s="224">
        <v>15714</v>
      </c>
      <c r="L7" s="224">
        <v>24674</v>
      </c>
      <c r="M7" s="78">
        <v>29402</v>
      </c>
      <c r="N7" s="127">
        <v>10504</v>
      </c>
      <c r="O7" s="121">
        <v>22221</v>
      </c>
      <c r="P7" s="121">
        <v>32423</v>
      </c>
      <c r="Q7" s="78">
        <v>35051</v>
      </c>
      <c r="R7" s="162">
        <v>10232</v>
      </c>
      <c r="S7" s="78">
        <v>21777</v>
      </c>
      <c r="T7" s="78">
        <v>31432</v>
      </c>
      <c r="U7" s="78">
        <v>40788</v>
      </c>
      <c r="V7" s="162">
        <v>14728</v>
      </c>
      <c r="W7" s="163">
        <v>30024</v>
      </c>
    </row>
    <row r="8" spans="1:23" ht="25" customHeight="1">
      <c r="A8" s="2"/>
      <c r="B8" s="41" t="s">
        <v>71</v>
      </c>
      <c r="C8" s="32"/>
      <c r="D8" s="28"/>
      <c r="E8" s="28"/>
      <c r="F8" s="145"/>
      <c r="G8" s="28"/>
      <c r="H8" s="28"/>
      <c r="I8" s="28"/>
      <c r="J8" s="164"/>
      <c r="K8" s="65"/>
      <c r="L8" s="65"/>
      <c r="M8" s="28"/>
      <c r="N8" s="225"/>
      <c r="O8" s="226"/>
      <c r="P8" s="226"/>
      <c r="Q8" s="28"/>
      <c r="R8" s="201"/>
      <c r="S8" s="28"/>
      <c r="T8" s="28"/>
      <c r="U8" s="28"/>
      <c r="V8" s="201"/>
      <c r="W8" s="227"/>
    </row>
    <row r="9" spans="1:23" ht="25" customHeight="1">
      <c r="A9" s="2"/>
      <c r="B9" s="42" t="s">
        <v>72</v>
      </c>
      <c r="C9" s="92">
        <v>5922</v>
      </c>
      <c r="D9" s="84">
        <v>7235</v>
      </c>
      <c r="E9" s="84">
        <v>9095</v>
      </c>
      <c r="F9" s="228">
        <v>10187</v>
      </c>
      <c r="G9" s="84">
        <v>13812</v>
      </c>
      <c r="H9" s="84">
        <v>13994</v>
      </c>
      <c r="I9" s="84">
        <v>14343</v>
      </c>
      <c r="J9" s="183">
        <f>2719</f>
        <v>2719</v>
      </c>
      <c r="K9" s="84">
        <v>6444</v>
      </c>
      <c r="L9" s="84">
        <v>8931</v>
      </c>
      <c r="M9" s="84">
        <v>13812</v>
      </c>
      <c r="N9" s="128">
        <f>3442</f>
        <v>3442</v>
      </c>
      <c r="O9" s="122">
        <v>6678</v>
      </c>
      <c r="P9" s="122">
        <v>9719</v>
      </c>
      <c r="Q9" s="84">
        <v>13994</v>
      </c>
      <c r="R9" s="165">
        <v>3508</v>
      </c>
      <c r="S9" s="84">
        <v>6967</v>
      </c>
      <c r="T9" s="84">
        <v>10782</v>
      </c>
      <c r="U9" s="84">
        <v>14343</v>
      </c>
      <c r="V9" s="165">
        <v>4454</v>
      </c>
      <c r="W9" s="184">
        <v>8877</v>
      </c>
    </row>
    <row r="10" spans="1:23" ht="25" customHeight="1">
      <c r="A10" s="3"/>
      <c r="B10" s="42" t="s">
        <v>111</v>
      </c>
      <c r="C10" s="92">
        <v>3387</v>
      </c>
      <c r="D10" s="84">
        <v>2522</v>
      </c>
      <c r="E10" s="84">
        <v>2450</v>
      </c>
      <c r="F10" s="84">
        <v>3166</v>
      </c>
      <c r="G10" s="84">
        <f>3704-705</f>
        <v>2999</v>
      </c>
      <c r="H10" s="84">
        <v>1997</v>
      </c>
      <c r="I10" s="84">
        <v>2911</v>
      </c>
      <c r="J10" s="165">
        <v>735</v>
      </c>
      <c r="K10" s="84">
        <v>1445</v>
      </c>
      <c r="L10" s="84">
        <v>2173</v>
      </c>
      <c r="M10" s="84">
        <f>3704-705</f>
        <v>2999</v>
      </c>
      <c r="N10" s="80">
        <v>399</v>
      </c>
      <c r="O10" s="122">
        <v>916</v>
      </c>
      <c r="P10" s="122">
        <v>1665</v>
      </c>
      <c r="Q10" s="84">
        <v>1997</v>
      </c>
      <c r="R10" s="165">
        <v>554</v>
      </c>
      <c r="S10" s="84">
        <v>1293</v>
      </c>
      <c r="T10" s="84">
        <v>1736</v>
      </c>
      <c r="U10" s="84">
        <v>2911</v>
      </c>
      <c r="V10" s="165">
        <v>1819</v>
      </c>
      <c r="W10" s="184">
        <v>3921</v>
      </c>
    </row>
    <row r="11" spans="1:23" ht="25" customHeight="1">
      <c r="A11" s="3"/>
      <c r="B11" s="66" t="s">
        <v>112</v>
      </c>
      <c r="C11" s="92">
        <v>-656</v>
      </c>
      <c r="D11" s="84">
        <v>-300</v>
      </c>
      <c r="E11" s="84">
        <v>-1024</v>
      </c>
      <c r="F11" s="84">
        <v>-813</v>
      </c>
      <c r="G11" s="84">
        <v>-1073</v>
      </c>
      <c r="H11" s="84">
        <v>-393</v>
      </c>
      <c r="I11" s="84">
        <v>65</v>
      </c>
      <c r="J11" s="165">
        <v>-79</v>
      </c>
      <c r="K11" s="84">
        <v>-664</v>
      </c>
      <c r="L11" s="84">
        <v>-749</v>
      </c>
      <c r="M11" s="84">
        <v>-1073</v>
      </c>
      <c r="N11" s="229">
        <v>-154</v>
      </c>
      <c r="O11" s="230">
        <v>-81</v>
      </c>
      <c r="P11" s="84">
        <v>-81</v>
      </c>
      <c r="Q11" s="84">
        <v>-393</v>
      </c>
      <c r="R11" s="231">
        <v>-169</v>
      </c>
      <c r="S11" s="230">
        <v>-327</v>
      </c>
      <c r="T11" s="84">
        <v>-87</v>
      </c>
      <c r="U11" s="84">
        <v>65</v>
      </c>
      <c r="V11" s="165">
        <v>538</v>
      </c>
      <c r="W11" s="184">
        <v>617</v>
      </c>
    </row>
    <row r="12" spans="1:23" ht="25" customHeight="1">
      <c r="A12" s="2"/>
      <c r="B12" s="42" t="s">
        <v>73</v>
      </c>
      <c r="C12" s="92">
        <v>-4945</v>
      </c>
      <c r="D12" s="84">
        <v>-7539</v>
      </c>
      <c r="E12" s="84">
        <v>-5088</v>
      </c>
      <c r="F12" s="228">
        <v>-5648</v>
      </c>
      <c r="G12" s="228">
        <v>3720</v>
      </c>
      <c r="H12" s="228">
        <v>31</v>
      </c>
      <c r="I12" s="228">
        <v>-28839</v>
      </c>
      <c r="J12" s="165">
        <f>1575</f>
        <v>1575</v>
      </c>
      <c r="K12" s="84">
        <v>3204</v>
      </c>
      <c r="L12" s="84">
        <v>5184</v>
      </c>
      <c r="M12" s="228">
        <v>3720</v>
      </c>
      <c r="N12" s="80">
        <v>-2662</v>
      </c>
      <c r="O12" s="122">
        <v>-205</v>
      </c>
      <c r="P12" s="122">
        <v>-1607</v>
      </c>
      <c r="Q12" s="228">
        <v>31</v>
      </c>
      <c r="R12" s="177">
        <v>-7589</v>
      </c>
      <c r="S12" s="204">
        <v>-15062</v>
      </c>
      <c r="T12" s="218">
        <v>-23635</v>
      </c>
      <c r="U12" s="218">
        <v>-28839</v>
      </c>
      <c r="V12" s="282">
        <v>-17742</v>
      </c>
      <c r="W12" s="208">
        <v>-14513</v>
      </c>
    </row>
    <row r="13" spans="1:23" ht="25" customHeight="1">
      <c r="A13" s="2"/>
      <c r="B13" s="42" t="s">
        <v>74</v>
      </c>
      <c r="C13" s="92">
        <v>-4005</v>
      </c>
      <c r="D13" s="84">
        <v>-4430</v>
      </c>
      <c r="E13" s="84">
        <v>-10509</v>
      </c>
      <c r="F13" s="228">
        <v>-20975</v>
      </c>
      <c r="G13" s="84">
        <v>3132</v>
      </c>
      <c r="H13" s="84">
        <v>7467</v>
      </c>
      <c r="I13" s="84">
        <v>-39998</v>
      </c>
      <c r="J13" s="183">
        <f>4981-89</f>
        <v>4892</v>
      </c>
      <c r="K13" s="142">
        <v>7169</v>
      </c>
      <c r="L13" s="142">
        <v>-3098</v>
      </c>
      <c r="M13" s="142">
        <v>3132</v>
      </c>
      <c r="N13" s="128">
        <v>5396</v>
      </c>
      <c r="O13" s="122">
        <v>9976</v>
      </c>
      <c r="P13" s="122">
        <v>17628</v>
      </c>
      <c r="Q13" s="84">
        <v>7467</v>
      </c>
      <c r="R13" s="177">
        <v>-8629</v>
      </c>
      <c r="S13" s="204">
        <v>-22532</v>
      </c>
      <c r="T13" s="218">
        <v>-25667</v>
      </c>
      <c r="U13" s="218">
        <v>-39998</v>
      </c>
      <c r="V13" s="282">
        <v>1701</v>
      </c>
      <c r="W13" s="208">
        <v>-14234</v>
      </c>
    </row>
    <row r="14" spans="1:23" ht="25" customHeight="1">
      <c r="A14" s="2"/>
      <c r="B14" s="42" t="s">
        <v>75</v>
      </c>
      <c r="C14" s="92">
        <v>9028</v>
      </c>
      <c r="D14" s="84">
        <v>4107</v>
      </c>
      <c r="E14" s="84">
        <v>2355</v>
      </c>
      <c r="F14" s="84">
        <v>10064</v>
      </c>
      <c r="G14" s="84">
        <v>-679</v>
      </c>
      <c r="H14" s="84">
        <v>-9606</v>
      </c>
      <c r="I14" s="84">
        <v>32614</v>
      </c>
      <c r="J14" s="183">
        <f>-8636-229</f>
        <v>-8865</v>
      </c>
      <c r="K14" s="142">
        <f>-649-229</f>
        <v>-878</v>
      </c>
      <c r="L14" s="142">
        <f>-596-229</f>
        <v>-825</v>
      </c>
      <c r="M14" s="142">
        <v>-679</v>
      </c>
      <c r="N14" s="80">
        <f>-1588+4509</f>
        <v>2921</v>
      </c>
      <c r="O14" s="122">
        <v>-12414</v>
      </c>
      <c r="P14" s="122">
        <v>-15505</v>
      </c>
      <c r="Q14" s="84">
        <v>-9606</v>
      </c>
      <c r="R14" s="165">
        <f>6793+5692</f>
        <v>12485</v>
      </c>
      <c r="S14" s="84">
        <v>10060</v>
      </c>
      <c r="T14" s="84">
        <v>15153</v>
      </c>
      <c r="U14" s="84">
        <v>32614</v>
      </c>
      <c r="V14" s="165">
        <v>4609</v>
      </c>
      <c r="W14" s="184">
        <v>33396</v>
      </c>
    </row>
    <row r="15" spans="1:23" ht="25" customHeight="1">
      <c r="A15" s="2"/>
      <c r="B15" s="42" t="s">
        <v>168</v>
      </c>
      <c r="C15" s="92"/>
      <c r="D15" s="84">
        <v>0</v>
      </c>
      <c r="E15" s="84">
        <v>0</v>
      </c>
      <c r="F15" s="84">
        <v>0</v>
      </c>
      <c r="G15" s="84">
        <v>2121</v>
      </c>
      <c r="H15" s="84">
        <v>4430</v>
      </c>
      <c r="I15" s="84">
        <v>-6768</v>
      </c>
      <c r="J15" s="183">
        <v>-4009</v>
      </c>
      <c r="K15" s="84">
        <v>-7021</v>
      </c>
      <c r="L15" s="84">
        <f>-3133</f>
        <v>-3133</v>
      </c>
      <c r="M15" s="84">
        <v>2121</v>
      </c>
      <c r="N15" s="80">
        <f>4509-4509</f>
        <v>0</v>
      </c>
      <c r="O15" s="122">
        <v>0</v>
      </c>
      <c r="P15" s="122">
        <v>0</v>
      </c>
      <c r="Q15" s="84">
        <v>4430</v>
      </c>
      <c r="R15" s="212">
        <f>5692-5692</f>
        <v>0</v>
      </c>
      <c r="S15" s="213">
        <v>0</v>
      </c>
      <c r="T15" s="213">
        <v>0</v>
      </c>
      <c r="U15" s="213">
        <v>-6768</v>
      </c>
      <c r="V15" s="212">
        <v>2103</v>
      </c>
      <c r="W15" s="208">
        <v>-18035</v>
      </c>
    </row>
    <row r="16" spans="1:23" ht="25" customHeight="1">
      <c r="A16" s="2"/>
      <c r="B16" s="42" t="s">
        <v>186</v>
      </c>
      <c r="C16" s="92">
        <v>2228</v>
      </c>
      <c r="D16" s="84">
        <v>363</v>
      </c>
      <c r="E16" s="84">
        <v>-192</v>
      </c>
      <c r="F16" s="84">
        <v>-909</v>
      </c>
      <c r="G16" s="84">
        <v>-2203</v>
      </c>
      <c r="H16" s="84">
        <v>-2220</v>
      </c>
      <c r="I16" s="84">
        <v>426</v>
      </c>
      <c r="J16" s="183">
        <f>170</f>
        <v>170</v>
      </c>
      <c r="K16" s="142">
        <v>484</v>
      </c>
      <c r="L16" s="142">
        <v>499</v>
      </c>
      <c r="M16" s="84">
        <v>-2203</v>
      </c>
      <c r="N16" s="128">
        <v>-492</v>
      </c>
      <c r="O16" s="232">
        <v>210</v>
      </c>
      <c r="P16" s="122">
        <v>-5182</v>
      </c>
      <c r="Q16" s="84">
        <v>-2220</v>
      </c>
      <c r="R16" s="165">
        <v>738</v>
      </c>
      <c r="S16" s="84">
        <v>1637</v>
      </c>
      <c r="T16" s="84">
        <v>749</v>
      </c>
      <c r="U16" s="84">
        <v>426</v>
      </c>
      <c r="V16" s="165">
        <v>353</v>
      </c>
      <c r="W16" s="208">
        <v>-772</v>
      </c>
    </row>
    <row r="17" spans="1:30" ht="25" customHeight="1">
      <c r="A17" s="2"/>
      <c r="B17" s="66" t="s">
        <v>113</v>
      </c>
      <c r="C17" s="101">
        <v>271</v>
      </c>
      <c r="D17" s="84">
        <v>1569</v>
      </c>
      <c r="E17" s="84">
        <v>-2408</v>
      </c>
      <c r="F17" s="84">
        <v>3726</v>
      </c>
      <c r="G17" s="84">
        <v>-498</v>
      </c>
      <c r="H17" s="84">
        <v>659</v>
      </c>
      <c r="I17" s="84">
        <v>-1022</v>
      </c>
      <c r="J17" s="183">
        <f>-266-74</f>
        <v>-340</v>
      </c>
      <c r="K17" s="142">
        <f>-1009-336</f>
        <v>-1345</v>
      </c>
      <c r="L17" s="142">
        <f>-397-1432</f>
        <v>-1829</v>
      </c>
      <c r="M17" s="142">
        <v>-498</v>
      </c>
      <c r="N17" s="80">
        <v>-2762</v>
      </c>
      <c r="O17" s="122">
        <v>-2713</v>
      </c>
      <c r="P17" s="122">
        <v>-441</v>
      </c>
      <c r="Q17" s="84">
        <v>659</v>
      </c>
      <c r="R17" s="177">
        <v>-1819</v>
      </c>
      <c r="S17" s="122">
        <v>3062</v>
      </c>
      <c r="T17" s="122">
        <v>1895</v>
      </c>
      <c r="U17" s="122">
        <v>-1022</v>
      </c>
      <c r="V17" s="177">
        <v>7050</v>
      </c>
      <c r="W17" s="233">
        <v>7357</v>
      </c>
    </row>
    <row r="18" spans="1:30">
      <c r="A18" s="2"/>
      <c r="B18" s="43" t="s">
        <v>76</v>
      </c>
      <c r="C18" s="97">
        <f t="shared" ref="C18:I18" si="0">SUM(C9:C17)</f>
        <v>11230</v>
      </c>
      <c r="D18" s="83">
        <f t="shared" si="0"/>
        <v>3527</v>
      </c>
      <c r="E18" s="83">
        <f t="shared" si="0"/>
        <v>-5321</v>
      </c>
      <c r="F18" s="83">
        <f t="shared" si="0"/>
        <v>-1202</v>
      </c>
      <c r="G18" s="83">
        <f t="shared" ref="G18" si="1">SUM(G9:G17)</f>
        <v>21331</v>
      </c>
      <c r="H18" s="83">
        <f t="shared" ref="H18" si="2">SUM(H9:H17)</f>
        <v>16359</v>
      </c>
      <c r="I18" s="83">
        <f t="shared" si="0"/>
        <v>-26268</v>
      </c>
      <c r="J18" s="185">
        <f t="shared" ref="J18:L18" si="3">SUM(J9:J17)</f>
        <v>-3202</v>
      </c>
      <c r="K18" s="83">
        <f t="shared" si="3"/>
        <v>8838</v>
      </c>
      <c r="L18" s="83">
        <f t="shared" si="3"/>
        <v>7153</v>
      </c>
      <c r="M18" s="83">
        <f t="shared" ref="M18" si="4">SUM(M9:M17)</f>
        <v>21331</v>
      </c>
      <c r="N18" s="97">
        <f t="shared" ref="N18" si="5">SUM(N9:N17)</f>
        <v>6088</v>
      </c>
      <c r="O18" s="83">
        <f>SUM(O9:O17)</f>
        <v>2367</v>
      </c>
      <c r="P18" s="83">
        <v>6196</v>
      </c>
      <c r="Q18" s="83">
        <f t="shared" ref="Q18" si="6">SUM(Q9:Q17)</f>
        <v>16359</v>
      </c>
      <c r="R18" s="234">
        <v>-921</v>
      </c>
      <c r="S18" s="214">
        <f>SUM(S9:S17)</f>
        <v>-14902</v>
      </c>
      <c r="T18" s="214">
        <f t="shared" ref="T18" si="7">SUM(T9:T17)</f>
        <v>-19074</v>
      </c>
      <c r="U18" s="214">
        <f>SUM(U9:U17)</f>
        <v>-26268</v>
      </c>
      <c r="V18" s="234">
        <f t="shared" ref="V18" si="8">SUM(V9:V17)</f>
        <v>4885</v>
      </c>
      <c r="W18" s="283">
        <f t="shared" ref="W18" si="9">SUM(W9:W17)</f>
        <v>6614</v>
      </c>
      <c r="X18" s="251"/>
      <c r="Y18" s="251"/>
      <c r="Z18" s="251"/>
      <c r="AA18" s="251"/>
      <c r="AB18" s="69"/>
      <c r="AC18" s="69"/>
      <c r="AD18" s="69"/>
    </row>
    <row r="19" spans="1:30" ht="25" customHeight="1" thickBot="1">
      <c r="A19" s="2"/>
      <c r="B19" s="41" t="s">
        <v>77</v>
      </c>
      <c r="C19" s="93">
        <v>-1242</v>
      </c>
      <c r="D19" s="100">
        <v>-435</v>
      </c>
      <c r="E19" s="100">
        <v>-1856</v>
      </c>
      <c r="F19" s="100">
        <v>-5821</v>
      </c>
      <c r="G19" s="100">
        <v>-6782</v>
      </c>
      <c r="H19" s="100">
        <v>-6559</v>
      </c>
      <c r="I19" s="100">
        <v>-7950</v>
      </c>
      <c r="J19" s="186">
        <v>-482</v>
      </c>
      <c r="K19" s="100">
        <v>-2754</v>
      </c>
      <c r="L19" s="100">
        <v>-5567</v>
      </c>
      <c r="M19" s="100">
        <v>-6782</v>
      </c>
      <c r="N19" s="81">
        <v>-1535</v>
      </c>
      <c r="O19" s="121">
        <v>-2878</v>
      </c>
      <c r="P19" s="121">
        <v>-5596</v>
      </c>
      <c r="Q19" s="100">
        <v>-6559</v>
      </c>
      <c r="R19" s="189">
        <v>-1824</v>
      </c>
      <c r="S19" s="121">
        <v>-4191</v>
      </c>
      <c r="T19" s="121">
        <v>-5782</v>
      </c>
      <c r="U19" s="121">
        <v>-7950</v>
      </c>
      <c r="V19" s="189">
        <v>-3833</v>
      </c>
      <c r="W19" s="188">
        <v>-5469</v>
      </c>
      <c r="X19" s="251"/>
      <c r="Y19" s="251"/>
      <c r="Z19" s="251"/>
      <c r="AA19" s="251"/>
      <c r="AB19" s="69"/>
      <c r="AC19" s="69"/>
      <c r="AD19" s="69"/>
    </row>
    <row r="20" spans="1:30" ht="25" customHeight="1" thickBot="1">
      <c r="A20" s="2"/>
      <c r="B20" s="43" t="s">
        <v>114</v>
      </c>
      <c r="C20" s="82">
        <f t="shared" ref="C20:I20" si="10">C7+C18+C19</f>
        <v>20144</v>
      </c>
      <c r="D20" s="79">
        <f t="shared" si="10"/>
        <v>12295</v>
      </c>
      <c r="E20" s="79">
        <f t="shared" si="10"/>
        <v>7863</v>
      </c>
      <c r="F20" s="79">
        <f t="shared" si="10"/>
        <v>13998</v>
      </c>
      <c r="G20" s="79">
        <f t="shared" ref="G20:H20" si="11">G7+G18+G19</f>
        <v>43951</v>
      </c>
      <c r="H20" s="79">
        <f t="shared" si="11"/>
        <v>44851</v>
      </c>
      <c r="I20" s="79">
        <f t="shared" si="10"/>
        <v>6570</v>
      </c>
      <c r="J20" s="178">
        <f t="shared" ref="J20:M20" si="12">J7+J18+J19</f>
        <v>2838</v>
      </c>
      <c r="K20" s="79">
        <f t="shared" si="12"/>
        <v>21798</v>
      </c>
      <c r="L20" s="79">
        <f t="shared" si="12"/>
        <v>26260</v>
      </c>
      <c r="M20" s="79">
        <f t="shared" si="12"/>
        <v>43951</v>
      </c>
      <c r="N20" s="82">
        <f t="shared" ref="N20" si="13">N7+N18+N19</f>
        <v>15057</v>
      </c>
      <c r="O20" s="79">
        <v>21710</v>
      </c>
      <c r="P20" s="79">
        <f>P7+P18+P19</f>
        <v>33023</v>
      </c>
      <c r="Q20" s="219">
        <f t="shared" ref="Q20:T20" si="14">Q7+Q18+Q19</f>
        <v>44851</v>
      </c>
      <c r="R20" s="79">
        <f t="shared" si="14"/>
        <v>7487</v>
      </c>
      <c r="S20" s="79">
        <f t="shared" si="14"/>
        <v>2684</v>
      </c>
      <c r="T20" s="79">
        <f t="shared" si="14"/>
        <v>6576</v>
      </c>
      <c r="U20" s="187">
        <f>U7+U18+U19</f>
        <v>6570</v>
      </c>
      <c r="V20" s="157">
        <f>V7+V18+V19</f>
        <v>15780</v>
      </c>
      <c r="W20" s="159">
        <f>W7+W18+W19</f>
        <v>31169</v>
      </c>
    </row>
    <row r="21" spans="1:30" ht="25" customHeight="1">
      <c r="A21" s="4"/>
      <c r="B21" s="40" t="s">
        <v>78</v>
      </c>
      <c r="C21" s="32"/>
      <c r="D21" s="120"/>
      <c r="E21" s="120"/>
      <c r="F21" s="28"/>
      <c r="G21" s="88"/>
      <c r="H21" s="88"/>
      <c r="I21" s="88"/>
      <c r="J21" s="194"/>
      <c r="K21" s="21"/>
      <c r="L21" s="21"/>
      <c r="M21" s="88"/>
      <c r="N21" s="235"/>
      <c r="O21" s="236"/>
      <c r="P21" s="236"/>
      <c r="Q21" s="88"/>
      <c r="R21" s="237"/>
      <c r="S21" s="238"/>
      <c r="T21" s="238"/>
      <c r="U21" s="238"/>
      <c r="V21" s="242"/>
      <c r="W21" s="202"/>
    </row>
    <row r="22" spans="1:30" ht="25" customHeight="1">
      <c r="A22" s="2"/>
      <c r="B22" s="41" t="s">
        <v>79</v>
      </c>
      <c r="C22" s="94">
        <v>-2916</v>
      </c>
      <c r="D22" s="78">
        <v>-24790</v>
      </c>
      <c r="E22" s="78">
        <v>-12885</v>
      </c>
      <c r="F22" s="78">
        <v>-11698</v>
      </c>
      <c r="G22" s="78">
        <v>-14389</v>
      </c>
      <c r="H22" s="78">
        <v>-14043</v>
      </c>
      <c r="I22" s="78">
        <v>-13150</v>
      </c>
      <c r="J22" s="162">
        <v>-4430</v>
      </c>
      <c r="K22" s="78">
        <v>-9352</v>
      </c>
      <c r="L22" s="78">
        <v>-11400</v>
      </c>
      <c r="M22" s="78">
        <v>-14389</v>
      </c>
      <c r="N22" s="81">
        <v>-2862</v>
      </c>
      <c r="O22" s="121">
        <v>-4664</v>
      </c>
      <c r="P22" s="121">
        <v>-10061</v>
      </c>
      <c r="Q22" s="78">
        <v>-14043</v>
      </c>
      <c r="R22" s="162">
        <v>-4723</v>
      </c>
      <c r="S22" s="78">
        <v>-7872</v>
      </c>
      <c r="T22" s="78">
        <v>-14189</v>
      </c>
      <c r="U22" s="78">
        <v>-13150</v>
      </c>
      <c r="V22" s="162">
        <v>-6863</v>
      </c>
      <c r="W22" s="163">
        <v>-6947</v>
      </c>
    </row>
    <row r="23" spans="1:30" ht="25" customHeight="1">
      <c r="A23" s="2"/>
      <c r="B23" s="41" t="s">
        <v>187</v>
      </c>
      <c r="C23" s="94">
        <v>-14761</v>
      </c>
      <c r="D23" s="78">
        <v>0</v>
      </c>
      <c r="E23" s="78">
        <v>-8</v>
      </c>
      <c r="F23" s="78">
        <v>0</v>
      </c>
      <c r="G23" s="78">
        <v>0</v>
      </c>
      <c r="H23" s="78">
        <v>0</v>
      </c>
      <c r="I23" s="78">
        <v>-3100</v>
      </c>
      <c r="J23" s="162">
        <v>0</v>
      </c>
      <c r="K23" s="78">
        <v>0</v>
      </c>
      <c r="L23" s="78">
        <v>0</v>
      </c>
      <c r="M23" s="78">
        <v>0</v>
      </c>
      <c r="N23" s="81">
        <v>0</v>
      </c>
      <c r="O23" s="121">
        <v>0</v>
      </c>
      <c r="P23" s="121">
        <v>0</v>
      </c>
      <c r="Q23" s="78">
        <v>0</v>
      </c>
      <c r="R23" s="162">
        <v>0</v>
      </c>
      <c r="S23" s="78">
        <v>0</v>
      </c>
      <c r="T23" s="78">
        <v>-3100</v>
      </c>
      <c r="U23" s="78">
        <v>-3100</v>
      </c>
      <c r="V23" s="162">
        <v>0</v>
      </c>
      <c r="W23" s="163">
        <v>0</v>
      </c>
    </row>
    <row r="24" spans="1:30" ht="25" customHeight="1">
      <c r="A24" s="2"/>
      <c r="B24" s="41" t="s">
        <v>150</v>
      </c>
      <c r="C24" s="94">
        <v>0</v>
      </c>
      <c r="D24" s="78">
        <v>-50</v>
      </c>
      <c r="E24" s="78">
        <v>0</v>
      </c>
      <c r="F24" s="78">
        <v>0</v>
      </c>
      <c r="G24" s="78">
        <v>0</v>
      </c>
      <c r="H24" s="78">
        <v>0</v>
      </c>
      <c r="I24" s="78">
        <v>-2100</v>
      </c>
      <c r="J24" s="162">
        <v>0</v>
      </c>
      <c r="K24" s="78">
        <v>0</v>
      </c>
      <c r="L24" s="78">
        <v>0</v>
      </c>
      <c r="M24" s="78">
        <v>0</v>
      </c>
      <c r="N24" s="81">
        <v>0</v>
      </c>
      <c r="O24" s="121">
        <v>0</v>
      </c>
      <c r="P24" s="121">
        <v>0</v>
      </c>
      <c r="Q24" s="78">
        <v>0</v>
      </c>
      <c r="R24" s="162">
        <v>0</v>
      </c>
      <c r="S24" s="78">
        <v>0</v>
      </c>
      <c r="T24" s="78">
        <f>-2100</f>
        <v>-2100</v>
      </c>
      <c r="U24" s="78">
        <f>-2100</f>
        <v>-2100</v>
      </c>
      <c r="V24" s="162">
        <f>-1300</f>
        <v>-1300</v>
      </c>
      <c r="W24" s="163">
        <f>-1425</f>
        <v>-1425</v>
      </c>
    </row>
    <row r="25" spans="1:30" ht="25" customHeight="1">
      <c r="A25" s="2"/>
      <c r="B25" s="107" t="s">
        <v>115</v>
      </c>
      <c r="C25" s="94">
        <v>0</v>
      </c>
      <c r="D25" s="78">
        <v>1352</v>
      </c>
      <c r="E25" s="78">
        <v>1811</v>
      </c>
      <c r="F25" s="78">
        <v>536</v>
      </c>
      <c r="G25" s="78">
        <v>705</v>
      </c>
      <c r="H25" s="78">
        <v>0</v>
      </c>
      <c r="I25" s="78">
        <v>0</v>
      </c>
      <c r="J25" s="162">
        <v>157</v>
      </c>
      <c r="K25" s="78">
        <v>304</v>
      </c>
      <c r="L25" s="78">
        <v>408</v>
      </c>
      <c r="M25" s="78">
        <v>705</v>
      </c>
      <c r="N25" s="81">
        <v>305</v>
      </c>
      <c r="O25" s="121">
        <v>460</v>
      </c>
      <c r="P25" s="121">
        <v>573</v>
      </c>
      <c r="Q25" s="78">
        <v>0</v>
      </c>
      <c r="R25" s="162">
        <v>0</v>
      </c>
      <c r="S25" s="78">
        <v>0</v>
      </c>
      <c r="T25" s="78">
        <v>0</v>
      </c>
      <c r="U25" s="78">
        <v>0</v>
      </c>
      <c r="V25" s="162">
        <v>0</v>
      </c>
      <c r="W25" s="163">
        <v>0</v>
      </c>
    </row>
    <row r="26" spans="1:30" ht="25" customHeight="1">
      <c r="A26" s="2"/>
      <c r="B26" s="107" t="s">
        <v>116</v>
      </c>
      <c r="C26" s="94">
        <v>15900</v>
      </c>
      <c r="D26" s="78">
        <v>1072</v>
      </c>
      <c r="E26" s="78">
        <v>12200</v>
      </c>
      <c r="F26" s="78">
        <v>813</v>
      </c>
      <c r="G26" s="78">
        <v>1138</v>
      </c>
      <c r="H26" s="78">
        <v>748</v>
      </c>
      <c r="I26" s="78">
        <v>0</v>
      </c>
      <c r="J26" s="162">
        <v>79</v>
      </c>
      <c r="K26" s="78">
        <v>664</v>
      </c>
      <c r="L26" s="78">
        <v>749</v>
      </c>
      <c r="M26" s="78">
        <v>1138</v>
      </c>
      <c r="N26" s="81">
        <v>157</v>
      </c>
      <c r="O26" s="121">
        <v>276</v>
      </c>
      <c r="P26" s="121">
        <v>276</v>
      </c>
      <c r="Q26" s="78">
        <v>748</v>
      </c>
      <c r="R26" s="162">
        <v>171</v>
      </c>
      <c r="S26" s="78">
        <v>0</v>
      </c>
      <c r="T26" s="78">
        <v>0</v>
      </c>
      <c r="U26" s="78">
        <v>0</v>
      </c>
      <c r="V26" s="162">
        <v>61</v>
      </c>
      <c r="W26" s="163">
        <v>102</v>
      </c>
    </row>
    <row r="27" spans="1:30" ht="25" customHeight="1" thickBot="1">
      <c r="A27" s="5"/>
      <c r="B27" s="41" t="s">
        <v>117</v>
      </c>
      <c r="C27" s="94">
        <v>0</v>
      </c>
      <c r="D27" s="78">
        <v>1019</v>
      </c>
      <c r="E27" s="78">
        <v>1743</v>
      </c>
      <c r="F27" s="78">
        <v>749</v>
      </c>
      <c r="G27" s="78">
        <v>991</v>
      </c>
      <c r="H27" s="78">
        <v>779</v>
      </c>
      <c r="I27" s="78">
        <v>687</v>
      </c>
      <c r="J27" s="162">
        <v>275</v>
      </c>
      <c r="K27" s="78">
        <v>563</v>
      </c>
      <c r="L27" s="78">
        <v>701</v>
      </c>
      <c r="M27" s="78">
        <v>991</v>
      </c>
      <c r="N27" s="81">
        <v>119</v>
      </c>
      <c r="O27" s="121">
        <v>279</v>
      </c>
      <c r="P27" s="121">
        <v>595</v>
      </c>
      <c r="Q27" s="78">
        <v>779</v>
      </c>
      <c r="R27" s="162">
        <v>188</v>
      </c>
      <c r="S27" s="78">
        <v>367</v>
      </c>
      <c r="T27" s="78">
        <v>510</v>
      </c>
      <c r="U27" s="78">
        <v>687</v>
      </c>
      <c r="V27" s="162">
        <v>293</v>
      </c>
      <c r="W27" s="163">
        <v>428</v>
      </c>
    </row>
    <row r="28" spans="1:30" ht="25" customHeight="1" thickBot="1">
      <c r="A28" s="2"/>
      <c r="B28" s="43" t="s">
        <v>118</v>
      </c>
      <c r="C28" s="82">
        <f t="shared" ref="C28:I28" si="15">SUM(C22:C27)</f>
        <v>-1777</v>
      </c>
      <c r="D28" s="79">
        <f t="shared" si="15"/>
        <v>-21397</v>
      </c>
      <c r="E28" s="79">
        <f t="shared" si="15"/>
        <v>2861</v>
      </c>
      <c r="F28" s="79">
        <f t="shared" si="15"/>
        <v>-9600</v>
      </c>
      <c r="G28" s="79">
        <f t="shared" ref="G28:H28" si="16">SUM(G22:G27)</f>
        <v>-11555</v>
      </c>
      <c r="H28" s="79">
        <f t="shared" si="16"/>
        <v>-12516</v>
      </c>
      <c r="I28" s="79">
        <f t="shared" si="15"/>
        <v>-17663</v>
      </c>
      <c r="J28" s="178">
        <f t="shared" ref="J28:L28" si="17">SUM(J22:J27)</f>
        <v>-3919</v>
      </c>
      <c r="K28" s="79">
        <f t="shared" si="17"/>
        <v>-7821</v>
      </c>
      <c r="L28" s="79">
        <f t="shared" si="17"/>
        <v>-9542</v>
      </c>
      <c r="M28" s="79">
        <f t="shared" ref="M28" si="18">SUM(M22:M27)</f>
        <v>-11555</v>
      </c>
      <c r="N28" s="82">
        <f t="shared" ref="N28:O28" si="19">SUM(N22:N27)</f>
        <v>-2281</v>
      </c>
      <c r="O28" s="79">
        <f t="shared" si="19"/>
        <v>-3649</v>
      </c>
      <c r="P28" s="79">
        <f>SUM(P22:P27)</f>
        <v>-8617</v>
      </c>
      <c r="Q28" s="79">
        <f t="shared" ref="Q28" si="20">SUM(Q22:Q27)</f>
        <v>-12516</v>
      </c>
      <c r="R28" s="157">
        <f t="shared" ref="R28:W28" si="21">SUM(R22:R27)</f>
        <v>-4364</v>
      </c>
      <c r="S28" s="158">
        <f t="shared" si="21"/>
        <v>-7505</v>
      </c>
      <c r="T28" s="187">
        <f t="shared" si="21"/>
        <v>-18879</v>
      </c>
      <c r="U28" s="187">
        <f t="shared" si="21"/>
        <v>-17663</v>
      </c>
      <c r="V28" s="157">
        <f t="shared" si="21"/>
        <v>-7809</v>
      </c>
      <c r="W28" s="159">
        <f t="shared" si="21"/>
        <v>-7842</v>
      </c>
    </row>
    <row r="29" spans="1:30" ht="25" customHeight="1">
      <c r="A29" s="2"/>
      <c r="B29" s="40" t="s">
        <v>80</v>
      </c>
      <c r="C29" s="85"/>
      <c r="D29" s="86"/>
      <c r="E29" s="86"/>
      <c r="F29" s="28"/>
      <c r="G29" s="88"/>
      <c r="H29" s="88"/>
      <c r="I29" s="88"/>
      <c r="J29" s="239"/>
      <c r="K29" s="144"/>
      <c r="L29" s="144"/>
      <c r="M29" s="88"/>
      <c r="N29" s="235"/>
      <c r="O29" s="236"/>
      <c r="P29" s="144"/>
      <c r="Q29" s="88"/>
      <c r="R29" s="237"/>
      <c r="S29" s="238"/>
      <c r="T29" s="238"/>
      <c r="U29" s="238"/>
      <c r="V29" s="242"/>
      <c r="W29" s="202"/>
    </row>
    <row r="30" spans="1:30" ht="25" customHeight="1">
      <c r="A30" s="2"/>
      <c r="B30" s="41" t="s">
        <v>119</v>
      </c>
      <c r="C30" s="94">
        <v>7734</v>
      </c>
      <c r="D30" s="78">
        <v>29684</v>
      </c>
      <c r="E30" s="78">
        <v>3354</v>
      </c>
      <c r="F30" s="78">
        <v>3721</v>
      </c>
      <c r="G30" s="78">
        <v>-23362</v>
      </c>
      <c r="H30" s="78">
        <v>-3520</v>
      </c>
      <c r="I30" s="78">
        <v>30056</v>
      </c>
      <c r="J30" s="166">
        <v>3205</v>
      </c>
      <c r="K30" s="89">
        <v>-8788</v>
      </c>
      <c r="L30" s="89">
        <v>-12072</v>
      </c>
      <c r="M30" s="78">
        <v>-23362</v>
      </c>
      <c r="N30" s="81">
        <v>502</v>
      </c>
      <c r="O30" s="121">
        <v>5533</v>
      </c>
      <c r="P30" s="121">
        <v>2739</v>
      </c>
      <c r="Q30" s="78">
        <v>-3520</v>
      </c>
      <c r="R30" s="162">
        <v>6716</v>
      </c>
      <c r="S30" s="78">
        <v>22141</v>
      </c>
      <c r="T30" s="78">
        <v>31821</v>
      </c>
      <c r="U30" s="78">
        <v>30056</v>
      </c>
      <c r="V30" s="162">
        <v>4678</v>
      </c>
      <c r="W30" s="163">
        <v>2260</v>
      </c>
    </row>
    <row r="31" spans="1:30" ht="25" customHeight="1">
      <c r="A31" s="2"/>
      <c r="B31" s="41" t="s">
        <v>151</v>
      </c>
      <c r="C31" s="94">
        <v>0</v>
      </c>
      <c r="D31" s="78">
        <v>614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166"/>
      <c r="K31" s="89"/>
      <c r="L31" s="89"/>
      <c r="M31" s="78">
        <v>0</v>
      </c>
      <c r="N31" s="81">
        <v>0</v>
      </c>
      <c r="O31" s="121">
        <v>0</v>
      </c>
      <c r="P31" s="121">
        <v>0</v>
      </c>
      <c r="Q31" s="78">
        <v>0</v>
      </c>
      <c r="R31" s="162">
        <v>0</v>
      </c>
      <c r="S31" s="78">
        <v>0</v>
      </c>
      <c r="T31" s="78">
        <v>0</v>
      </c>
      <c r="U31" s="78">
        <v>0</v>
      </c>
      <c r="V31" s="162">
        <v>0</v>
      </c>
      <c r="W31" s="163">
        <v>0</v>
      </c>
    </row>
    <row r="32" spans="1:30" ht="25" customHeight="1">
      <c r="A32" s="2"/>
      <c r="B32" s="41" t="s">
        <v>120</v>
      </c>
      <c r="C32" s="94">
        <v>-1063</v>
      </c>
      <c r="D32" s="78">
        <v>-5978</v>
      </c>
      <c r="E32" s="78">
        <v>-6736</v>
      </c>
      <c r="F32" s="78">
        <v>-3009</v>
      </c>
      <c r="G32" s="78">
        <v>0</v>
      </c>
      <c r="H32" s="78">
        <v>0</v>
      </c>
      <c r="I32" s="78">
        <v>0</v>
      </c>
      <c r="J32" s="162">
        <v>-671</v>
      </c>
      <c r="K32" s="78">
        <v>-1710</v>
      </c>
      <c r="L32" s="78">
        <v>-2401</v>
      </c>
      <c r="M32" s="78">
        <v>0</v>
      </c>
      <c r="N32" s="81">
        <v>0</v>
      </c>
      <c r="O32" s="121">
        <v>0</v>
      </c>
      <c r="P32" s="240">
        <v>0</v>
      </c>
      <c r="Q32" s="78">
        <v>0</v>
      </c>
      <c r="R32" s="179">
        <v>0</v>
      </c>
      <c r="S32" s="121">
        <v>0</v>
      </c>
      <c r="T32" s="78">
        <v>0</v>
      </c>
      <c r="U32" s="78">
        <v>0</v>
      </c>
      <c r="V32" s="162">
        <v>0</v>
      </c>
      <c r="W32" s="163">
        <v>0</v>
      </c>
    </row>
    <row r="33" spans="1:23" ht="25" customHeight="1">
      <c r="A33" s="2"/>
      <c r="B33" s="41" t="s">
        <v>188</v>
      </c>
      <c r="C33" s="94">
        <v>0</v>
      </c>
      <c r="D33" s="78">
        <v>0</v>
      </c>
      <c r="E33" s="78">
        <v>0</v>
      </c>
      <c r="F33" s="78">
        <v>0</v>
      </c>
      <c r="G33" s="78">
        <v>-5767</v>
      </c>
      <c r="H33" s="78">
        <v>-10180</v>
      </c>
      <c r="I33" s="78">
        <v>-10724</v>
      </c>
      <c r="J33" s="162"/>
      <c r="K33" s="78"/>
      <c r="L33" s="78"/>
      <c r="M33" s="78">
        <v>-5767</v>
      </c>
      <c r="N33" s="81">
        <v>-1637</v>
      </c>
      <c r="O33" s="121">
        <v>-3731</v>
      </c>
      <c r="P33" s="241">
        <v>-5191</v>
      </c>
      <c r="Q33" s="78">
        <v>-10180</v>
      </c>
      <c r="R33" s="179">
        <v>-2415</v>
      </c>
      <c r="S33" s="121">
        <v>-4349</v>
      </c>
      <c r="T33" s="78">
        <v>-5660</v>
      </c>
      <c r="U33" s="78">
        <v>-9238</v>
      </c>
      <c r="V33" s="162">
        <v>-1587</v>
      </c>
      <c r="W33" s="163">
        <v>-3462</v>
      </c>
    </row>
    <row r="34" spans="1:23" ht="25" customHeight="1">
      <c r="A34" s="2"/>
      <c r="B34" s="41" t="s">
        <v>121</v>
      </c>
      <c r="C34" s="94">
        <v>0</v>
      </c>
      <c r="D34" s="78">
        <v>0</v>
      </c>
      <c r="E34" s="78">
        <v>0</v>
      </c>
      <c r="F34" s="78">
        <v>0</v>
      </c>
      <c r="G34" s="78">
        <v>0</v>
      </c>
      <c r="H34" s="78">
        <v>-543</v>
      </c>
      <c r="I34" s="78">
        <v>-379</v>
      </c>
      <c r="J34" s="162">
        <v>0</v>
      </c>
      <c r="K34" s="78">
        <v>0</v>
      </c>
      <c r="L34" s="78">
        <v>0</v>
      </c>
      <c r="M34" s="78">
        <v>0</v>
      </c>
      <c r="N34" s="81">
        <v>0</v>
      </c>
      <c r="O34" s="121">
        <v>-292</v>
      </c>
      <c r="P34" s="121">
        <v>-518</v>
      </c>
      <c r="Q34" s="78">
        <v>-543</v>
      </c>
      <c r="R34" s="162">
        <v>-61</v>
      </c>
      <c r="S34" s="78">
        <v>-89</v>
      </c>
      <c r="T34" s="78">
        <v>-148</v>
      </c>
      <c r="U34" s="78">
        <v>-379</v>
      </c>
      <c r="V34" s="162">
        <v>-59</v>
      </c>
      <c r="W34" s="163">
        <v>-79</v>
      </c>
    </row>
    <row r="35" spans="1:23" ht="25" customHeight="1">
      <c r="A35" s="6"/>
      <c r="B35" s="41" t="s">
        <v>122</v>
      </c>
      <c r="C35" s="94">
        <v>-15972</v>
      </c>
      <c r="D35" s="78">
        <v>-7986</v>
      </c>
      <c r="E35" s="78">
        <v>-514</v>
      </c>
      <c r="F35" s="78">
        <v>-594</v>
      </c>
      <c r="G35" s="78">
        <v>-332</v>
      </c>
      <c r="H35" s="78">
        <v>-4621</v>
      </c>
      <c r="I35" s="78">
        <v>-9238</v>
      </c>
      <c r="J35" s="162">
        <v>0</v>
      </c>
      <c r="K35" s="78">
        <v>-332</v>
      </c>
      <c r="L35" s="78">
        <v>-332</v>
      </c>
      <c r="M35" s="78">
        <v>-332</v>
      </c>
      <c r="N35" s="81">
        <v>0</v>
      </c>
      <c r="O35" s="121">
        <v>-510</v>
      </c>
      <c r="P35" s="121">
        <v>-4610</v>
      </c>
      <c r="Q35" s="78">
        <v>-4621</v>
      </c>
      <c r="R35" s="162">
        <v>-182</v>
      </c>
      <c r="S35" s="205">
        <v>-9268</v>
      </c>
      <c r="T35" s="205">
        <v>-10321</v>
      </c>
      <c r="U35" s="205">
        <v>-10724</v>
      </c>
      <c r="V35" s="284">
        <v>0</v>
      </c>
      <c r="W35" s="190">
        <v>0</v>
      </c>
    </row>
    <row r="36" spans="1:23" ht="25" customHeight="1" thickBot="1">
      <c r="A36" s="2"/>
      <c r="B36" s="41" t="s">
        <v>81</v>
      </c>
      <c r="C36" s="94">
        <v>-3387</v>
      </c>
      <c r="D36" s="78">
        <v>-3874</v>
      </c>
      <c r="E36" s="78">
        <v>-4261</v>
      </c>
      <c r="F36" s="78">
        <v>-3702</v>
      </c>
      <c r="G36" s="78">
        <v>-3704</v>
      </c>
      <c r="H36" s="78">
        <v>-1997</v>
      </c>
      <c r="I36" s="78">
        <v>-2911</v>
      </c>
      <c r="J36" s="162">
        <v>-892</v>
      </c>
      <c r="K36" s="78">
        <v>-1749</v>
      </c>
      <c r="L36" s="78">
        <v>-2581</v>
      </c>
      <c r="M36" s="78">
        <v>-3704</v>
      </c>
      <c r="N36" s="81">
        <v>-704</v>
      </c>
      <c r="O36" s="121">
        <v>-1376</v>
      </c>
      <c r="P36" s="121">
        <v>-2238</v>
      </c>
      <c r="Q36" s="78">
        <v>-1997</v>
      </c>
      <c r="R36" s="162">
        <v>-554</v>
      </c>
      <c r="S36" s="205">
        <v>-1293</v>
      </c>
      <c r="T36" s="205">
        <v>-1736</v>
      </c>
      <c r="U36" s="205">
        <v>-2911</v>
      </c>
      <c r="V36" s="284">
        <v>-1819</v>
      </c>
      <c r="W36" s="190">
        <v>-3921</v>
      </c>
    </row>
    <row r="37" spans="1:23" ht="25" customHeight="1" thickBot="1">
      <c r="A37" s="5"/>
      <c r="B37" s="43" t="s">
        <v>123</v>
      </c>
      <c r="C37" s="82">
        <f t="shared" ref="C37:I37" si="22">SUM(C30:C36)</f>
        <v>-12688</v>
      </c>
      <c r="D37" s="79">
        <f t="shared" si="22"/>
        <v>12460</v>
      </c>
      <c r="E37" s="79">
        <f t="shared" si="22"/>
        <v>-8157</v>
      </c>
      <c r="F37" s="79">
        <f t="shared" si="22"/>
        <v>-3584</v>
      </c>
      <c r="G37" s="79">
        <f t="shared" ref="G37:H37" si="23">SUM(G30:G36)</f>
        <v>-33165</v>
      </c>
      <c r="H37" s="79">
        <f t="shared" si="23"/>
        <v>-20861</v>
      </c>
      <c r="I37" s="79">
        <f t="shared" si="22"/>
        <v>6804</v>
      </c>
      <c r="J37" s="178">
        <f t="shared" ref="J37:M37" si="24">SUM(J30:J36)</f>
        <v>1642</v>
      </c>
      <c r="K37" s="79">
        <f t="shared" si="24"/>
        <v>-12579</v>
      </c>
      <c r="L37" s="79">
        <f t="shared" si="24"/>
        <v>-17386</v>
      </c>
      <c r="M37" s="79">
        <f t="shared" si="24"/>
        <v>-33165</v>
      </c>
      <c r="N37" s="82">
        <f t="shared" ref="N37" si="25">SUM(N30:N36)</f>
        <v>-1839</v>
      </c>
      <c r="O37" s="79">
        <f>SUM(O30:O36)</f>
        <v>-376</v>
      </c>
      <c r="P37" s="79">
        <f>SUM(P30:P36)</f>
        <v>-9818</v>
      </c>
      <c r="Q37" s="79">
        <f t="shared" ref="Q37" si="26">SUM(Q30:Q36)</f>
        <v>-20861</v>
      </c>
      <c r="R37" s="157">
        <f t="shared" ref="R37:W37" si="27">SUM(R30:R36)</f>
        <v>3504</v>
      </c>
      <c r="S37" s="158">
        <f t="shared" si="27"/>
        <v>7142</v>
      </c>
      <c r="T37" s="158">
        <f t="shared" si="27"/>
        <v>13956</v>
      </c>
      <c r="U37" s="158">
        <f t="shared" si="27"/>
        <v>6804</v>
      </c>
      <c r="V37" s="157">
        <f t="shared" si="27"/>
        <v>1213</v>
      </c>
      <c r="W37" s="159">
        <f t="shared" si="27"/>
        <v>-5202</v>
      </c>
    </row>
    <row r="38" spans="1:23" ht="25" customHeight="1" thickBot="1">
      <c r="A38" s="1"/>
      <c r="B38" s="41"/>
      <c r="C38" s="32"/>
      <c r="D38" s="86"/>
      <c r="E38" s="86"/>
      <c r="F38" s="28"/>
      <c r="G38" s="88"/>
      <c r="H38" s="88"/>
      <c r="I38" s="88"/>
      <c r="J38" s="164"/>
      <c r="K38" s="65"/>
      <c r="L38" s="65"/>
      <c r="M38" s="88"/>
      <c r="N38" s="235"/>
      <c r="O38" s="236"/>
      <c r="P38" s="236"/>
      <c r="Q38" s="88"/>
      <c r="R38" s="242"/>
      <c r="S38" s="88"/>
      <c r="T38" s="88"/>
      <c r="U38" s="88"/>
      <c r="V38" s="242"/>
      <c r="W38" s="202"/>
    </row>
    <row r="39" spans="1:23" ht="25" customHeight="1" thickBot="1">
      <c r="A39" s="2"/>
      <c r="B39" s="43" t="s">
        <v>82</v>
      </c>
      <c r="C39" s="82">
        <f t="shared" ref="C39:I39" si="28">C20+C28+C37</f>
        <v>5679</v>
      </c>
      <c r="D39" s="79">
        <f t="shared" si="28"/>
        <v>3358</v>
      </c>
      <c r="E39" s="79">
        <f t="shared" si="28"/>
        <v>2567</v>
      </c>
      <c r="F39" s="79">
        <f t="shared" si="28"/>
        <v>814</v>
      </c>
      <c r="G39" s="79">
        <f t="shared" ref="G39:H39" si="29">G20+G28+G37</f>
        <v>-769</v>
      </c>
      <c r="H39" s="79">
        <f t="shared" si="29"/>
        <v>11474</v>
      </c>
      <c r="I39" s="79">
        <f t="shared" si="28"/>
        <v>-4289</v>
      </c>
      <c r="J39" s="178">
        <f t="shared" ref="J39:M39" si="30">J20+J28+J37</f>
        <v>561</v>
      </c>
      <c r="K39" s="79">
        <f t="shared" si="30"/>
        <v>1398</v>
      </c>
      <c r="L39" s="79">
        <f t="shared" si="30"/>
        <v>-668</v>
      </c>
      <c r="M39" s="79">
        <f t="shared" si="30"/>
        <v>-769</v>
      </c>
      <c r="N39" s="82">
        <f t="shared" ref="N39" si="31">N20+N28+N37</f>
        <v>10937</v>
      </c>
      <c r="O39" s="211">
        <v>17685</v>
      </c>
      <c r="P39" s="79">
        <f>P20+P28+P37</f>
        <v>14588</v>
      </c>
      <c r="Q39" s="79">
        <f t="shared" ref="Q39" si="32">Q20+Q28+Q37</f>
        <v>11474</v>
      </c>
      <c r="R39" s="157">
        <f t="shared" ref="R39:W39" si="33">R20+R28+R37</f>
        <v>6627</v>
      </c>
      <c r="S39" s="158">
        <f t="shared" si="33"/>
        <v>2321</v>
      </c>
      <c r="T39" s="158">
        <f t="shared" si="33"/>
        <v>1653</v>
      </c>
      <c r="U39" s="158">
        <f t="shared" si="33"/>
        <v>-4289</v>
      </c>
      <c r="V39" s="157">
        <f t="shared" si="33"/>
        <v>9184</v>
      </c>
      <c r="W39" s="159">
        <f t="shared" si="33"/>
        <v>18125</v>
      </c>
    </row>
    <row r="40" spans="1:23" ht="25" customHeight="1" thickBot="1">
      <c r="A40" s="2"/>
      <c r="B40" s="51" t="s">
        <v>124</v>
      </c>
      <c r="C40" s="82">
        <v>-3724</v>
      </c>
      <c r="D40" s="98">
        <v>979</v>
      </c>
      <c r="E40" s="98">
        <v>-1011</v>
      </c>
      <c r="F40" s="243">
        <v>45</v>
      </c>
      <c r="G40" s="98">
        <v>0</v>
      </c>
      <c r="H40" s="98">
        <v>0</v>
      </c>
      <c r="I40" s="98">
        <v>0</v>
      </c>
      <c r="J40" s="244">
        <v>0</v>
      </c>
      <c r="K40" s="98">
        <v>0</v>
      </c>
      <c r="L40" s="98">
        <v>0</v>
      </c>
      <c r="M40" s="98">
        <v>0</v>
      </c>
      <c r="N40" s="174">
        <v>0</v>
      </c>
      <c r="O40" s="245">
        <v>0</v>
      </c>
      <c r="P40" s="98">
        <v>0</v>
      </c>
      <c r="Q40" s="98">
        <v>0</v>
      </c>
      <c r="R40" s="185">
        <v>0</v>
      </c>
      <c r="S40" s="83">
        <v>0</v>
      </c>
      <c r="T40" s="83">
        <v>0</v>
      </c>
      <c r="U40" s="83">
        <v>0</v>
      </c>
      <c r="V40" s="157">
        <v>0</v>
      </c>
      <c r="W40" s="159">
        <v>0</v>
      </c>
    </row>
    <row r="41" spans="1:23" ht="25" customHeight="1" thickBot="1">
      <c r="A41" s="2"/>
      <c r="B41" s="43" t="s">
        <v>88</v>
      </c>
      <c r="C41" s="82">
        <f t="shared" ref="C41:F41" si="34">SUM(C39:C40)</f>
        <v>1955</v>
      </c>
      <c r="D41" s="79">
        <f t="shared" si="34"/>
        <v>4337</v>
      </c>
      <c r="E41" s="79">
        <f t="shared" si="34"/>
        <v>1556</v>
      </c>
      <c r="F41" s="79">
        <f t="shared" si="34"/>
        <v>859</v>
      </c>
      <c r="G41" s="79">
        <f t="shared" ref="G41:I41" si="35">SUM(G39:G40)</f>
        <v>-769</v>
      </c>
      <c r="H41" s="79">
        <f t="shared" ref="H41" si="36">SUM(H39:H40)</f>
        <v>11474</v>
      </c>
      <c r="I41" s="79">
        <f t="shared" si="35"/>
        <v>-4289</v>
      </c>
      <c r="J41" s="178">
        <f t="shared" ref="J41:M41" si="37">SUM(J39:J40)</f>
        <v>561</v>
      </c>
      <c r="K41" s="79">
        <f t="shared" si="37"/>
        <v>1398</v>
      </c>
      <c r="L41" s="79">
        <f t="shared" si="37"/>
        <v>-668</v>
      </c>
      <c r="M41" s="79">
        <f t="shared" si="37"/>
        <v>-769</v>
      </c>
      <c r="N41" s="82">
        <f t="shared" ref="N41:O41" si="38">SUM(N39:N40)</f>
        <v>10937</v>
      </c>
      <c r="O41" s="211">
        <f t="shared" si="38"/>
        <v>17685</v>
      </c>
      <c r="P41" s="79">
        <f>SUM(P39:P40)</f>
        <v>14588</v>
      </c>
      <c r="Q41" s="79">
        <f t="shared" ref="Q41" si="39">SUM(Q39:Q40)</f>
        <v>11474</v>
      </c>
      <c r="R41" s="157">
        <v>6627</v>
      </c>
      <c r="S41" s="158">
        <v>2321</v>
      </c>
      <c r="T41" s="158">
        <v>1653</v>
      </c>
      <c r="U41" s="158">
        <v>1653</v>
      </c>
      <c r="V41" s="185">
        <v>9184</v>
      </c>
      <c r="W41" s="197">
        <v>18125</v>
      </c>
    </row>
    <row r="42" spans="1:23" ht="25" customHeight="1" thickBot="1">
      <c r="A42" s="2"/>
      <c r="B42" s="41" t="s">
        <v>89</v>
      </c>
      <c r="C42" s="102">
        <v>4816</v>
      </c>
      <c r="D42" s="99">
        <v>6771</v>
      </c>
      <c r="E42" s="99">
        <v>11108</v>
      </c>
      <c r="F42" s="99">
        <v>12664</v>
      </c>
      <c r="G42" s="99">
        <v>13523</v>
      </c>
      <c r="H42" s="99">
        <v>12754</v>
      </c>
      <c r="I42" s="99">
        <v>24228</v>
      </c>
      <c r="J42" s="246">
        <v>13523</v>
      </c>
      <c r="K42" s="247">
        <v>13523</v>
      </c>
      <c r="L42" s="247">
        <v>13523</v>
      </c>
      <c r="M42" s="99">
        <v>13523</v>
      </c>
      <c r="N42" s="81">
        <v>12754</v>
      </c>
      <c r="O42" s="121">
        <v>12754</v>
      </c>
      <c r="P42" s="121">
        <v>12754</v>
      </c>
      <c r="Q42" s="99">
        <v>12754</v>
      </c>
      <c r="R42" s="162">
        <v>24228</v>
      </c>
      <c r="S42" s="78">
        <v>24228</v>
      </c>
      <c r="T42" s="78">
        <v>24228</v>
      </c>
      <c r="U42" s="78">
        <v>24228</v>
      </c>
      <c r="V42" s="161">
        <v>19939</v>
      </c>
      <c r="W42" s="261">
        <v>19939</v>
      </c>
    </row>
    <row r="43" spans="1:23" ht="25" customHeight="1" thickBot="1">
      <c r="A43" s="2"/>
      <c r="B43" s="44" t="s">
        <v>90</v>
      </c>
      <c r="C43" s="82">
        <v>6771</v>
      </c>
      <c r="D43" s="79">
        <v>11108</v>
      </c>
      <c r="E43" s="79">
        <v>12664</v>
      </c>
      <c r="F43" s="79">
        <v>13523</v>
      </c>
      <c r="G43" s="79">
        <v>12754</v>
      </c>
      <c r="H43" s="79">
        <v>24228</v>
      </c>
      <c r="I43" s="79">
        <v>19939</v>
      </c>
      <c r="J43" s="248">
        <v>14084</v>
      </c>
      <c r="K43" s="249">
        <v>14921</v>
      </c>
      <c r="L43" s="249">
        <v>12855</v>
      </c>
      <c r="M43" s="187">
        <v>12754</v>
      </c>
      <c r="N43" s="250">
        <v>23691</v>
      </c>
      <c r="O43" s="249">
        <v>30439</v>
      </c>
      <c r="P43" s="187">
        <v>27342</v>
      </c>
      <c r="Q43" s="187">
        <v>24228</v>
      </c>
      <c r="R43" s="157">
        <v>30855</v>
      </c>
      <c r="S43" s="158">
        <v>26549</v>
      </c>
      <c r="T43" s="158">
        <v>25881</v>
      </c>
      <c r="U43" s="158">
        <v>19939</v>
      </c>
      <c r="V43" s="285">
        <v>29123</v>
      </c>
      <c r="W43" s="286">
        <v>38064</v>
      </c>
    </row>
    <row r="44" spans="1:23" ht="25" customHeight="1">
      <c r="A44" s="2"/>
      <c r="B44" s="45"/>
      <c r="C44" s="19"/>
      <c r="D44" s="19"/>
      <c r="E44" s="19"/>
      <c r="F44" s="19"/>
      <c r="G44" s="19"/>
      <c r="H44" s="19"/>
      <c r="I44" s="19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J45" s="155"/>
      <c r="K45" s="155"/>
      <c r="L45" s="155"/>
      <c r="M45" s="155"/>
      <c r="N45" s="155"/>
      <c r="O45" s="155"/>
      <c r="P45" s="155"/>
      <c r="Q45" s="155"/>
    </row>
  </sheetData>
  <mergeCells count="7">
    <mergeCell ref="R4:U4"/>
    <mergeCell ref="V4:W4"/>
    <mergeCell ref="E1:N1"/>
    <mergeCell ref="D4:F4"/>
    <mergeCell ref="B4:B5"/>
    <mergeCell ref="J4:M4"/>
    <mergeCell ref="N4:Q4"/>
  </mergeCells>
  <pageMargins left="0.43307086614173229" right="0.31496062992125984" top="0.74803149606299213" bottom="0.74803149606299213" header="0.31496062992125984" footer="0.31496062992125984"/>
  <pageSetup paperSize="9" scale="54" orientation="portrait" horizontalDpi="300" verticalDpi="300" r:id="rId1"/>
  <rowBreaks count="2" manualBreakCount="2">
    <brk id="44" max="16383" man="1"/>
    <brk id="62" max="16383" man="1"/>
  </rowBreaks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82"/>
  <sheetViews>
    <sheetView tabSelected="1" topLeftCell="B1" zoomScale="150" zoomScaleNormal="150" workbookViewId="0">
      <selection activeCell="I11" sqref="I11"/>
    </sheetView>
  </sheetViews>
  <sheetFormatPr baseColWidth="10" defaultColWidth="8.83203125" defaultRowHeight="14"/>
  <cols>
    <col min="1" max="1" width="5.1640625" customWidth="1"/>
    <col min="2" max="2" width="35.33203125" customWidth="1"/>
    <col min="3" max="8" width="10.6640625" customWidth="1"/>
    <col min="9" max="9" width="11.33203125" customWidth="1"/>
    <col min="10" max="12" width="10.6640625" customWidth="1"/>
  </cols>
  <sheetData>
    <row r="1" spans="1:19" ht="73.5" customHeight="1">
      <c r="B1" s="7"/>
      <c r="C1" s="308"/>
      <c r="D1" s="308"/>
      <c r="E1" s="308"/>
      <c r="F1" s="30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5">
      <c r="A4" s="7"/>
      <c r="B4" s="7"/>
      <c r="C4" s="309"/>
      <c r="D4" s="309"/>
      <c r="E4" s="30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" thickBo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35"/>
      <c r="N8" s="7"/>
      <c r="O8" s="7"/>
      <c r="P8" s="7"/>
      <c r="Q8" s="7"/>
      <c r="R8" s="7"/>
      <c r="S8" s="7"/>
    </row>
    <row r="9" spans="1:19" ht="15">
      <c r="A9" s="7"/>
      <c r="B9" s="70"/>
      <c r="C9" s="72" t="s">
        <v>98</v>
      </c>
      <c r="D9" s="73" t="s">
        <v>99</v>
      </c>
      <c r="E9" s="73" t="s">
        <v>100</v>
      </c>
      <c r="F9" s="73" t="s">
        <v>101</v>
      </c>
      <c r="G9" s="73" t="s">
        <v>94</v>
      </c>
      <c r="H9" s="73" t="s">
        <v>95</v>
      </c>
      <c r="I9" s="73" t="s">
        <v>96</v>
      </c>
      <c r="J9" s="73" t="s">
        <v>102</v>
      </c>
      <c r="K9" s="73" t="s">
        <v>104</v>
      </c>
      <c r="L9" s="73" t="s">
        <v>97</v>
      </c>
      <c r="M9" s="134" t="s">
        <v>155</v>
      </c>
      <c r="N9" s="74" t="s">
        <v>156</v>
      </c>
      <c r="O9" s="7"/>
      <c r="P9" s="7"/>
      <c r="Q9" s="7"/>
      <c r="R9" s="7"/>
      <c r="S9" s="7"/>
    </row>
    <row r="10" spans="1:19" ht="15">
      <c r="A10" s="7"/>
      <c r="B10" s="133" t="s">
        <v>193</v>
      </c>
      <c r="C10" s="130">
        <v>49.8</v>
      </c>
      <c r="D10" s="129">
        <v>47.3</v>
      </c>
      <c r="E10" s="129">
        <v>48.9</v>
      </c>
      <c r="F10" s="252">
        <v>48.3</v>
      </c>
      <c r="G10" s="129">
        <v>48.3</v>
      </c>
      <c r="H10" s="129">
        <v>59.6</v>
      </c>
      <c r="I10" s="129">
        <v>45.6</v>
      </c>
      <c r="J10" s="129"/>
      <c r="K10" s="129"/>
      <c r="L10" s="129"/>
      <c r="M10" s="129"/>
      <c r="N10" s="26"/>
      <c r="O10" s="7"/>
      <c r="P10" s="7"/>
      <c r="Q10" s="7"/>
      <c r="R10" s="7"/>
      <c r="S10" s="7"/>
    </row>
    <row r="11" spans="1:19" ht="15">
      <c r="A11" s="7"/>
      <c r="B11" s="133" t="s">
        <v>154</v>
      </c>
      <c r="C11" s="130">
        <v>41.4</v>
      </c>
      <c r="D11" s="129">
        <v>50.4</v>
      </c>
      <c r="E11" s="129">
        <v>52.4</v>
      </c>
      <c r="F11" s="252">
        <v>42</v>
      </c>
      <c r="G11" s="129">
        <v>37.4</v>
      </c>
      <c r="H11" s="129">
        <v>39.9</v>
      </c>
      <c r="I11" s="129">
        <v>41.6</v>
      </c>
      <c r="J11" s="129">
        <v>46.2</v>
      </c>
      <c r="K11" s="129">
        <v>46.8</v>
      </c>
      <c r="L11" s="129">
        <v>31.4</v>
      </c>
      <c r="M11" s="129">
        <v>35.200000000000003</v>
      </c>
      <c r="N11" s="26">
        <v>65.5</v>
      </c>
      <c r="O11" s="7"/>
      <c r="P11" s="7"/>
      <c r="Q11" s="7"/>
      <c r="R11" s="7"/>
      <c r="S11" s="7"/>
    </row>
    <row r="12" spans="1:19" ht="15">
      <c r="A12" s="7"/>
      <c r="B12" s="133" t="s">
        <v>152</v>
      </c>
      <c r="C12" s="130">
        <v>27.7</v>
      </c>
      <c r="D12" s="129">
        <v>31.9</v>
      </c>
      <c r="E12" s="129">
        <v>30.4</v>
      </c>
      <c r="F12" s="129">
        <v>36.799999999999997</v>
      </c>
      <c r="G12" s="129">
        <v>35.700000000000003</v>
      </c>
      <c r="H12" s="129">
        <v>38.299999999999997</v>
      </c>
      <c r="I12" s="129">
        <v>31.9</v>
      </c>
      <c r="J12" s="129">
        <v>29.3</v>
      </c>
      <c r="K12" s="129">
        <v>47.6</v>
      </c>
      <c r="L12" s="129">
        <v>26.5</v>
      </c>
      <c r="M12" s="129">
        <v>31.8</v>
      </c>
      <c r="N12" s="26">
        <v>50.5</v>
      </c>
      <c r="O12" s="7"/>
      <c r="P12" s="7"/>
      <c r="Q12" s="7"/>
      <c r="R12" s="7"/>
      <c r="S12" s="7"/>
    </row>
    <row r="13" spans="1:19" ht="16" thickBot="1">
      <c r="A13" s="7"/>
      <c r="B13" s="133" t="s">
        <v>153</v>
      </c>
      <c r="C13" s="131">
        <v>43.3</v>
      </c>
      <c r="D13" s="71">
        <v>30.9</v>
      </c>
      <c r="E13" s="71">
        <v>35.9</v>
      </c>
      <c r="F13" s="71">
        <v>38.799999999999997</v>
      </c>
      <c r="G13" s="71">
        <v>26.5</v>
      </c>
      <c r="H13" s="71">
        <v>34.700000000000003</v>
      </c>
      <c r="I13" s="132">
        <v>42.6</v>
      </c>
      <c r="J13" s="71">
        <v>26.9</v>
      </c>
      <c r="K13" s="71">
        <v>24.9</v>
      </c>
      <c r="L13" s="71">
        <v>30.6</v>
      </c>
      <c r="M13" s="132">
        <v>28</v>
      </c>
      <c r="N13" s="77">
        <v>41.6</v>
      </c>
      <c r="O13" s="7"/>
      <c r="P13" s="7"/>
      <c r="Q13" s="7"/>
      <c r="R13" s="7"/>
      <c r="S13" s="7"/>
    </row>
    <row r="14" spans="1:19">
      <c r="A14" s="7"/>
      <c r="B14" s="7"/>
      <c r="M14" s="7"/>
      <c r="N14" s="7"/>
      <c r="O14" s="7"/>
      <c r="P14" s="7"/>
      <c r="Q14" s="7"/>
      <c r="R14" s="7"/>
      <c r="S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9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9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9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9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9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9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9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9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9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9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9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1:17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1:17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1:17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1:17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1:17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1:17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1:17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1:17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1:1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1:17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1:17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1:17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1:17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1:17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1:17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1:17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1:17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1:17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1:17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1:17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1:17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1:17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1: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1:17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1:17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1:17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1:17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1:17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1:17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1:17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1:17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1:17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1:1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1:17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1:17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1:17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1:17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1:17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1:17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1:17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1:17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1:17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1:1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1:17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1:17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1:17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7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7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1:17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1:17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1:17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1:17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1:1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1:17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1:17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1:17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1:17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1:17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1:17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1:17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1:17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1:1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1:17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1:17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1:17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1:17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1:17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1:17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1:17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1:17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1:17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1:17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1:17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1:17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1:17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1:17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1:1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1:17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1:17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1:17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17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1:17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1:17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1:17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1:1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1:17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1:17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1:17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1:17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1:17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1:17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1:17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1:17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1:17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1:17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1:17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1:17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1:17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1:17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1:17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1:17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1:17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1:17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1:17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1: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1:17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1:17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1:17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1:17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1:17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1:17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1:17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1:17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1:17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1:1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1:17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1:17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1:17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1:17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1:17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1:17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1:17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1:17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1:17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spans="1:1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spans="1:17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spans="1:17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1:17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spans="1:17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1:17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1:17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1:17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1:17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1:17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1:1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1:17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1:17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1:17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1:17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1:17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1:17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1:17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1:17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1:17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1:1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1:17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1:17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1:17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1:17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spans="1:17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1:17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1:17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1:17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spans="1:17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spans="1:1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spans="1:17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spans="1:17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1:17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spans="1:17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spans="1:17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spans="1:17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spans="1:17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spans="1:17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spans="1:17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spans="1:1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spans="1:17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spans="1:17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spans="1:17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spans="1:17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spans="1:17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spans="1:17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spans="1:17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spans="1:17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spans="1:17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spans="1:1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spans="1:17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spans="1:17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spans="1:17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1:17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1:17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1:17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1:17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spans="1:17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1:17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spans="1:1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spans="1:17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spans="1:17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spans="1:17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spans="1:17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spans="1:17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spans="1:17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spans="1:17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spans="1:17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spans="1:17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spans="1:1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spans="1:17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spans="1:17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spans="1:17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spans="1:17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spans="1:17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1:17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1:17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spans="1:17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spans="1:17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spans="1: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spans="1:17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spans="1:17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spans="1:17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spans="1:17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spans="1:17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spans="1:17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spans="1:17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spans="1:17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spans="1:17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spans="1:1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spans="1:17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spans="1:17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spans="1:17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spans="1:17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spans="1:17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spans="1:17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spans="1:17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spans="1:17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spans="1:17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spans="1:1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spans="1:17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spans="1:17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1:17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1:17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spans="1:17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spans="1:17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spans="1:17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spans="1:17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spans="1:17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spans="1:1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spans="1:17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spans="1:17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spans="1:17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spans="1:17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spans="1:17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spans="1:17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spans="1:17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spans="1:17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1:17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1:1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spans="1:17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spans="1:17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spans="1:17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spans="1:17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spans="1:17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spans="1:17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spans="1:17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spans="1:17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spans="1:17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spans="1:1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spans="1:17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spans="1:17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spans="1:17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spans="1:17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spans="1:17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spans="1:17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spans="1:17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spans="1:17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spans="1:17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spans="1:1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spans="1:17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spans="1:17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spans="1:17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spans="1:17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spans="1:17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spans="1:17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spans="1:17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spans="1:17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spans="1:17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spans="1:1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spans="1:17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spans="1:17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spans="1:17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spans="1:17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spans="1:17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spans="1:17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spans="1:17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spans="1:17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spans="1:17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spans="1:1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spans="1:17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spans="1:17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spans="1:17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spans="1:17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spans="1:17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spans="1:17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spans="1:17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spans="1:17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spans="1:17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spans="1:1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spans="1:17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spans="1:17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spans="1:17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spans="1:17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spans="1:17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spans="1:17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spans="1:17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spans="1:17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spans="1:17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spans="1: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spans="1:17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spans="1:17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1:17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1:17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spans="1:17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spans="1:17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spans="1:17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spans="1:17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1:17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1:1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spans="1:17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spans="1:17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spans="1:17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1:17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1:17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spans="1:17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spans="1:17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spans="1:17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1:17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1:1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spans="1:17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spans="1:17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spans="1:17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1:17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1:17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spans="1:17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spans="1:17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spans="1:17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spans="1:17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1:1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1:17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spans="1:17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spans="1:17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spans="1:17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1:17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1:17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spans="1:17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spans="1:17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spans="1:17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1:1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1:17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spans="1:17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spans="1:17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spans="1:17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1:17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1:17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spans="1:17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spans="1:17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spans="1:17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spans="1:1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spans="1:17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1:17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1:17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spans="1:17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spans="1:17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spans="1:17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1:17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1:17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spans="1:17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spans="1:1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spans="1:17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1:17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1:17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spans="1:17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spans="1:17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spans="1:17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1:17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1:17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spans="1:17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spans="1:1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spans="1:17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1:17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1:17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spans="1:17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spans="1:17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spans="1:17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spans="1:17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spans="1:17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spans="1:17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spans="1:1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spans="1:17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spans="1:17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spans="1:17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spans="1:17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spans="1:17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spans="1:17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spans="1:17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spans="1:17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spans="1:17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spans="1:1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spans="1:17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spans="1:17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spans="1:17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spans="1:17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spans="1:17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spans="1:17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spans="1:17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spans="1:17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spans="1:17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spans="1: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spans="1:17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spans="1:17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spans="1:17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spans="1:17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spans="1:17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spans="1:17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spans="1:17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spans="1:17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spans="1:17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spans="1:1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spans="1:17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spans="1:17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spans="1:17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spans="1:17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spans="1:17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spans="1:17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spans="1:17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spans="1:17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spans="1:17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1:1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1:17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spans="1:17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spans="1:17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spans="1:17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spans="1:17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spans="1:17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spans="1:17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spans="1:17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spans="1:17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spans="1:1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spans="1:17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1:17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1:17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spans="1:17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spans="1:17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spans="1:17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spans="1:17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spans="1:17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spans="1:17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spans="1:1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1:17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spans="1:17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spans="1:17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spans="1:17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spans="1:17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spans="1:17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spans="1:17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spans="1:17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spans="1:17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spans="1:1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spans="1:17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spans="1:17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spans="1:17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spans="1:17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1:17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1:17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spans="1:17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spans="1:17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spans="1:17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spans="1:1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spans="1:17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spans="1:17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spans="1:17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spans="1:17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spans="1:17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spans="1:17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spans="1:17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spans="1:17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spans="1:17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spans="1:1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spans="1:17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spans="1:17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spans="1:17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spans="1:17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spans="1:17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spans="1:17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spans="1:17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spans="1:17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spans="1:17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spans="1:1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spans="1:17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spans="1:17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spans="1:17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spans="1:17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spans="1:17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spans="1:17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spans="1:17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spans="1:17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spans="1:17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spans="1:1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spans="1:17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spans="1:17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spans="1:17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spans="1:17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spans="1:17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1:17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1:17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spans="1:17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spans="1:17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spans="1: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spans="1:17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spans="1:17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spans="1:17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spans="1:17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spans="1:17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spans="1:17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spans="1:17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spans="1:17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spans="1:17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spans="1:1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spans="1:17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spans="1:17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spans="1:17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spans="1:17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spans="1:17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spans="1:17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spans="1:17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spans="1:17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spans="1:17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spans="1:1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spans="1:17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spans="1:17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spans="1:17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spans="1:17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spans="1:17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spans="1:17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spans="1:17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spans="1:17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spans="1:17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spans="1:1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spans="1:17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spans="1:17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spans="1:17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spans="1:17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spans="1:17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spans="1:17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spans="1:17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spans="1:17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spans="1:17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spans="1:1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spans="1:17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spans="1:17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spans="1:17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spans="1:17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spans="1:17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spans="1:17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spans="1:17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spans="1:17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spans="1:17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spans="1:1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spans="1:17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spans="1:17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spans="1:17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spans="1:17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spans="1:17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spans="1:17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spans="1:17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spans="1:17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spans="1:17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spans="1:1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spans="1:17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spans="1:17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spans="1:17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spans="1:17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spans="1:17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spans="1:17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spans="1:17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spans="1:17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spans="1:17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spans="1:1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spans="1:17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spans="1:17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spans="1:17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spans="1:17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spans="1:17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spans="1:17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spans="1:17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spans="1:17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spans="1:17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spans="1:1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spans="1:17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spans="1:17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spans="1:17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  <row r="1001" spans="1:17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</row>
    <row r="1002" spans="1:17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</row>
    <row r="1003" spans="1:17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</row>
    <row r="1004" spans="1:17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</row>
    <row r="1005" spans="1:17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</row>
    <row r="1006" spans="1:17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</row>
    <row r="1007" spans="1:17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</row>
    <row r="1008" spans="1:17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</row>
    <row r="1009" spans="1:17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</row>
    <row r="1010" spans="1:17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</row>
    <row r="1011" spans="1:17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</row>
    <row r="1012" spans="1:17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</row>
    <row r="1013" spans="1:17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</row>
    <row r="1014" spans="1:17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</row>
    <row r="1015" spans="1:17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</row>
    <row r="1016" spans="1:17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</row>
    <row r="1017" spans="1:17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</row>
    <row r="1018" spans="1:17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</row>
    <row r="1019" spans="1:17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</row>
    <row r="1020" spans="1:17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</row>
    <row r="1021" spans="1:17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</row>
    <row r="1022" spans="1:17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</row>
    <row r="1023" spans="1:17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</row>
    <row r="1024" spans="1:17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</row>
    <row r="1025" spans="1:17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</row>
    <row r="1026" spans="1:17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</row>
    <row r="1027" spans="1:17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</row>
    <row r="1028" spans="1:17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</row>
    <row r="1029" spans="1:17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</row>
    <row r="1030" spans="1:17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</row>
    <row r="1031" spans="1:17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</row>
    <row r="1032" spans="1:17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</row>
    <row r="1033" spans="1:17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</row>
    <row r="1034" spans="1:17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</row>
    <row r="1035" spans="1:17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</row>
    <row r="1036" spans="1:17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</row>
    <row r="1037" spans="1:17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</row>
    <row r="1038" spans="1:17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</row>
    <row r="1039" spans="1:17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</row>
    <row r="1040" spans="1:17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</row>
    <row r="1041" spans="1:17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</row>
    <row r="1042" spans="1:17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</row>
    <row r="1043" spans="1:17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</row>
    <row r="1044" spans="1:17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</row>
    <row r="1045" spans="1:17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</row>
    <row r="1046" spans="1:17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</row>
    <row r="1047" spans="1:17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</row>
    <row r="1048" spans="1:17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</row>
    <row r="1049" spans="1:17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</row>
    <row r="1050" spans="1:17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</row>
    <row r="1051" spans="1:17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</row>
    <row r="1052" spans="1:17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</row>
    <row r="1053" spans="1:17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</row>
    <row r="1054" spans="1:17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</row>
    <row r="1055" spans="1:17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</row>
    <row r="1056" spans="1:17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</row>
    <row r="1057" spans="1:17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</row>
    <row r="1058" spans="1:17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</row>
    <row r="1059" spans="1:17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</row>
    <row r="1060" spans="1:17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</row>
    <row r="1061" spans="1:17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</row>
    <row r="1062" spans="1:17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</row>
    <row r="1063" spans="1:17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</row>
    <row r="1064" spans="1:17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</row>
    <row r="1065" spans="1:17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</row>
    <row r="1066" spans="1:17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</row>
    <row r="1067" spans="1:17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</row>
    <row r="1068" spans="1:17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</row>
    <row r="1069" spans="1:17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</row>
    <row r="1070" spans="1:17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</row>
    <row r="1071" spans="1:17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</row>
    <row r="1072" spans="1:17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</row>
    <row r="1073" spans="1:17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</row>
    <row r="1074" spans="1:17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</row>
    <row r="1075" spans="1:17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</row>
    <row r="1076" spans="1:17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</row>
    <row r="1077" spans="1:17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</row>
    <row r="1078" spans="1:17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</row>
    <row r="1079" spans="1:17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</row>
    <row r="1080" spans="1:17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</row>
    <row r="1081" spans="1:17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</row>
    <row r="1082" spans="1:17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</row>
  </sheetData>
  <mergeCells count="2">
    <mergeCell ref="C1:F1"/>
    <mergeCell ref="C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Grupa Mercor</vt:lpstr>
      <vt:lpstr>Bilans Grupa Mercor</vt:lpstr>
      <vt:lpstr>RZiS Grupa Mercor</vt:lpstr>
      <vt:lpstr>Cash flow Grupa Mercor</vt:lpstr>
      <vt:lpstr>zamówienia</vt:lpstr>
      <vt:lpstr>'Grupa Mercor'!Obszar_wydruku</vt:lpstr>
      <vt:lpstr>'RZiS Grupa Mercor'!Obszar_wydruku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Marta Kornet</cp:lastModifiedBy>
  <cp:lastPrinted>2022-07-13T12:39:49Z</cp:lastPrinted>
  <dcterms:created xsi:type="dcterms:W3CDTF">2012-02-09T13:26:38Z</dcterms:created>
  <dcterms:modified xsi:type="dcterms:W3CDTF">2022-12-09T15:28:11Z</dcterms:modified>
</cp:coreProperties>
</file>